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5\Quarter 3\Website (NE)\"/>
    </mc:Choice>
  </mc:AlternateContent>
  <xr:revisionPtr revIDLastSave="0" documentId="13_ncr:1_{329C6FDB-7D2A-4197-B1D7-4B4547083D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mports by BEC" sheetId="1" r:id="rId1"/>
    <sheet name="Sheet1" sheetId="2" state="hidden" r:id="rId2"/>
  </sheets>
  <externalReferences>
    <externalReference r:id="rId3"/>
  </externalReferences>
  <definedNames>
    <definedName name="BECREV4">'[1]dropdown codes'!$E$1:$E$5055</definedName>
    <definedName name="_xlnm.Print_Area" localSheetId="0">'Imports by BEC'!$AL$1:$CS$16</definedName>
    <definedName name="_xlnm.Print_Titles" localSheetId="0">'Imports by BEC'!$A:$A,'Imports by BEC'!$1:$5</definedName>
    <definedName name="SITCREV3Codes">'[1]dropdown codes'!$C$1:$C$5238</definedName>
    <definedName name="SITCREV3DES">'[1]dropdown codes'!$F$1:$F$65536</definedName>
    <definedName name="SITCREV3DESCRIPTION">'[1]dropdown codes'!$F$2:$F$3102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D14" i="1"/>
  <c r="C14" i="1"/>
  <c r="B13" i="1"/>
  <c r="B12" i="1"/>
  <c r="B11" i="1"/>
  <c r="B10" i="1"/>
  <c r="B9" i="1"/>
  <c r="B8" i="1"/>
  <c r="F14" i="1"/>
  <c r="B7" i="1"/>
  <c r="B14" i="1"/>
  <c r="H13" i="1"/>
  <c r="H12" i="1"/>
  <c r="H11" i="1"/>
  <c r="H10" i="1"/>
  <c r="H9" i="1"/>
  <c r="H8" i="1"/>
  <c r="H7" i="1"/>
  <c r="L14" i="1"/>
  <c r="K14" i="1"/>
  <c r="J14" i="1"/>
  <c r="I14" i="1"/>
  <c r="R14" i="1"/>
  <c r="Q14" i="1"/>
  <c r="P14" i="1"/>
  <c r="O14" i="1"/>
  <c r="N13" i="1"/>
  <c r="N12" i="1"/>
  <c r="N11" i="1"/>
  <c r="N10" i="1"/>
  <c r="N9" i="1"/>
  <c r="N14" i="1" s="1"/>
  <c r="N8" i="1"/>
  <c r="N7" i="1"/>
  <c r="Z7" i="1"/>
  <c r="Z8" i="1"/>
  <c r="Z9" i="1"/>
  <c r="Z10" i="1"/>
  <c r="Z11" i="1"/>
  <c r="Z12" i="1"/>
  <c r="Z13" i="1"/>
  <c r="X14" i="1"/>
  <c r="W14" i="1"/>
  <c r="V14" i="1"/>
  <c r="U14" i="1"/>
  <c r="T13" i="1"/>
  <c r="T12" i="1"/>
  <c r="T11" i="1"/>
  <c r="T14" i="1" s="1"/>
  <c r="T10" i="1"/>
  <c r="T9" i="1"/>
  <c r="T8" i="1"/>
  <c r="T7" i="1"/>
  <c r="O4" i="2"/>
  <c r="P4" i="2"/>
  <c r="AC14" i="1"/>
  <c r="AB14" i="1"/>
  <c r="AA14" i="1"/>
  <c r="AD14" i="1"/>
  <c r="AJ14" i="1"/>
  <c r="AI14" i="1"/>
  <c r="AH14" i="1"/>
  <c r="AG14" i="1"/>
  <c r="AF13" i="1"/>
  <c r="AF12" i="1"/>
  <c r="AF11" i="1"/>
  <c r="AF10" i="1"/>
  <c r="AF9" i="1"/>
  <c r="AF8" i="1"/>
  <c r="AF7" i="1"/>
  <c r="AF14" i="1"/>
  <c r="V53" i="2"/>
  <c r="U72" i="2"/>
  <c r="U53" i="2"/>
  <c r="V72" i="2"/>
  <c r="T53" i="2"/>
  <c r="W72" i="2"/>
  <c r="S53" i="2"/>
  <c r="X72" i="2"/>
  <c r="R53" i="2"/>
  <c r="P72" i="2"/>
  <c r="Q53" i="2"/>
  <c r="Q72" i="2"/>
  <c r="P53" i="2"/>
  <c r="R72" i="2"/>
  <c r="O53" i="2"/>
  <c r="S72" i="2"/>
  <c r="V63" i="2"/>
  <c r="V60" i="2"/>
  <c r="U79" i="2" s="1"/>
  <c r="T79" i="2" s="1"/>
  <c r="V59" i="2"/>
  <c r="U78" i="2"/>
  <c r="V58" i="2"/>
  <c r="U77" i="2"/>
  <c r="V57" i="2"/>
  <c r="U76" i="2"/>
  <c r="V56" i="2"/>
  <c r="U75" i="2"/>
  <c r="V55" i="2"/>
  <c r="U74" i="2"/>
  <c r="V54" i="2"/>
  <c r="U73" i="2" s="1"/>
  <c r="U63" i="2"/>
  <c r="U60" i="2"/>
  <c r="V79" i="2"/>
  <c r="U59" i="2"/>
  <c r="V78" i="2"/>
  <c r="T78" i="2" s="1"/>
  <c r="U58" i="2"/>
  <c r="V77" i="2"/>
  <c r="T77" i="2" s="1"/>
  <c r="U57" i="2"/>
  <c r="V76" i="2"/>
  <c r="U56" i="2"/>
  <c r="U61" i="2" s="1"/>
  <c r="U64" i="2" s="1"/>
  <c r="U55" i="2"/>
  <c r="V74" i="2"/>
  <c r="U54" i="2"/>
  <c r="T63" i="2"/>
  <c r="T59" i="2"/>
  <c r="W78" i="2"/>
  <c r="T57" i="2"/>
  <c r="W76" i="2"/>
  <c r="T56" i="2"/>
  <c r="W75" i="2"/>
  <c r="T55" i="2"/>
  <c r="T61" i="2" s="1"/>
  <c r="T64" i="2" s="1"/>
  <c r="T54" i="2"/>
  <c r="W73" i="2"/>
  <c r="S63" i="2"/>
  <c r="S60" i="2"/>
  <c r="X79" i="2"/>
  <c r="S59" i="2"/>
  <c r="X78" i="2"/>
  <c r="S58" i="2"/>
  <c r="X77" i="2"/>
  <c r="S57" i="2"/>
  <c r="X76" i="2" s="1"/>
  <c r="S56" i="2"/>
  <c r="X75" i="2"/>
  <c r="S55" i="2"/>
  <c r="X74" i="2"/>
  <c r="S54" i="2"/>
  <c r="X73" i="2"/>
  <c r="R63" i="2"/>
  <c r="R60" i="2"/>
  <c r="P79" i="2"/>
  <c r="O79" i="2" s="1"/>
  <c r="R59" i="2"/>
  <c r="P78" i="2"/>
  <c r="R58" i="2"/>
  <c r="P77" i="2"/>
  <c r="O77" i="2" s="1"/>
  <c r="R57" i="2"/>
  <c r="P76" i="2"/>
  <c r="O76" i="2" s="1"/>
  <c r="R56" i="2"/>
  <c r="P75" i="2"/>
  <c r="R55" i="2"/>
  <c r="P74" i="2"/>
  <c r="R54" i="2"/>
  <c r="R61" i="2" s="1"/>
  <c r="R64" i="2" s="1"/>
  <c r="P73" i="2"/>
  <c r="O73" i="2" s="1"/>
  <c r="Q63" i="2"/>
  <c r="Q60" i="2"/>
  <c r="Q79" i="2"/>
  <c r="Q59" i="2"/>
  <c r="Q78" i="2" s="1"/>
  <c r="O78" i="2" s="1"/>
  <c r="Q58" i="2"/>
  <c r="Q77" i="2"/>
  <c r="Q57" i="2"/>
  <c r="Q76" i="2"/>
  <c r="Q56" i="2"/>
  <c r="Q75" i="2"/>
  <c r="Q55" i="2"/>
  <c r="Q74" i="2"/>
  <c r="Q54" i="2"/>
  <c r="Q61" i="2" s="1"/>
  <c r="Q64" i="2" s="1"/>
  <c r="P63" i="2"/>
  <c r="P60" i="2"/>
  <c r="R79" i="2"/>
  <c r="P59" i="2"/>
  <c r="R78" i="2"/>
  <c r="P58" i="2"/>
  <c r="R77" i="2"/>
  <c r="P57" i="2"/>
  <c r="R76" i="2"/>
  <c r="P56" i="2"/>
  <c r="P61" i="2" s="1"/>
  <c r="P64" i="2" s="1"/>
  <c r="R75" i="2"/>
  <c r="O75" i="2" s="1"/>
  <c r="P55" i="2"/>
  <c r="R74" i="2" s="1"/>
  <c r="R80" i="2" s="1"/>
  <c r="P54" i="2"/>
  <c r="R73" i="2"/>
  <c r="O63" i="2"/>
  <c r="O60" i="2"/>
  <c r="S79" i="2"/>
  <c r="O59" i="2"/>
  <c r="S78" i="2"/>
  <c r="O58" i="2"/>
  <c r="S77" i="2"/>
  <c r="O57" i="2"/>
  <c r="S76" i="2"/>
  <c r="O56" i="2"/>
  <c r="S75" i="2"/>
  <c r="O55" i="2"/>
  <c r="O61" i="2" s="1"/>
  <c r="O64" i="2" s="1"/>
  <c r="O54" i="2"/>
  <c r="O14" i="2"/>
  <c r="P14" i="2"/>
  <c r="P11" i="2"/>
  <c r="P10" i="2"/>
  <c r="P9" i="2"/>
  <c r="P8" i="2"/>
  <c r="P7" i="2"/>
  <c r="P6" i="2"/>
  <c r="P12" i="2" s="1"/>
  <c r="P15" i="2" s="1"/>
  <c r="P5" i="2"/>
  <c r="O11" i="2"/>
  <c r="O10" i="2"/>
  <c r="O9" i="2"/>
  <c r="O8" i="2"/>
  <c r="O7" i="2"/>
  <c r="O6" i="2"/>
  <c r="O5" i="2"/>
  <c r="T60" i="2"/>
  <c r="W79" i="2"/>
  <c r="T58" i="2"/>
  <c r="W77" i="2"/>
  <c r="S52" i="2"/>
  <c r="U71" i="2"/>
  <c r="O52" i="2"/>
  <c r="P71" i="2"/>
  <c r="O1" i="2"/>
  <c r="AL13" i="1"/>
  <c r="AL12" i="1"/>
  <c r="AL11" i="1"/>
  <c r="AL10" i="1"/>
  <c r="AL9" i="1"/>
  <c r="AL8" i="1"/>
  <c r="AL7" i="1"/>
  <c r="AL14" i="1" s="1"/>
  <c r="AP14" i="1"/>
  <c r="AO14" i="1"/>
  <c r="AM14" i="1"/>
  <c r="AR8" i="1"/>
  <c r="AR14" i="1" s="1"/>
  <c r="AR9" i="1"/>
  <c r="AR10" i="1"/>
  <c r="AR11" i="1"/>
  <c r="AR12" i="1"/>
  <c r="AR13" i="1"/>
  <c r="AR7" i="1"/>
  <c r="AN14" i="1"/>
  <c r="AU14" i="1"/>
  <c r="A2" i="1"/>
  <c r="CN13" i="1"/>
  <c r="CN12" i="1"/>
  <c r="CN11" i="1"/>
  <c r="CN10" i="1"/>
  <c r="CN9" i="1"/>
  <c r="CN8" i="1"/>
  <c r="CN7" i="1"/>
  <c r="CH13" i="1"/>
  <c r="CH12" i="1"/>
  <c r="CH11" i="1"/>
  <c r="CH10" i="1"/>
  <c r="CH9" i="1"/>
  <c r="CH8" i="1"/>
  <c r="CH7" i="1"/>
  <c r="CB13" i="1"/>
  <c r="CB12" i="1"/>
  <c r="CB11" i="1"/>
  <c r="CB10" i="1"/>
  <c r="CB9" i="1"/>
  <c r="CB8" i="1"/>
  <c r="CB7" i="1"/>
  <c r="BV13" i="1"/>
  <c r="BV12" i="1"/>
  <c r="BV11" i="1"/>
  <c r="BV10" i="1"/>
  <c r="BV9" i="1"/>
  <c r="BV8" i="1"/>
  <c r="BV7" i="1"/>
  <c r="BP13" i="1"/>
  <c r="BP12" i="1"/>
  <c r="BP11" i="1"/>
  <c r="BP10" i="1"/>
  <c r="BP9" i="1"/>
  <c r="BP8" i="1"/>
  <c r="BP7" i="1"/>
  <c r="BJ8" i="1"/>
  <c r="BJ9" i="1"/>
  <c r="BJ10" i="1"/>
  <c r="BJ11" i="1"/>
  <c r="BJ12" i="1"/>
  <c r="BJ13" i="1"/>
  <c r="BJ7" i="1"/>
  <c r="BB13" i="1"/>
  <c r="BA13" i="1"/>
  <c r="AZ13" i="1"/>
  <c r="AY13" i="1"/>
  <c r="AX13" i="1"/>
  <c r="BB12" i="1"/>
  <c r="BA12" i="1"/>
  <c r="AZ12" i="1"/>
  <c r="AY12" i="1"/>
  <c r="BB11" i="1"/>
  <c r="BA11" i="1"/>
  <c r="AZ11" i="1"/>
  <c r="AY11" i="1"/>
  <c r="AX11" i="1"/>
  <c r="BB10" i="1"/>
  <c r="BA10" i="1"/>
  <c r="AZ10" i="1"/>
  <c r="AY10" i="1"/>
  <c r="AX10" i="1" s="1"/>
  <c r="BB9" i="1"/>
  <c r="BA9" i="1"/>
  <c r="AZ9" i="1"/>
  <c r="AX9" i="1" s="1"/>
  <c r="AY9" i="1"/>
  <c r="BB8" i="1"/>
  <c r="BA8" i="1"/>
  <c r="AZ8" i="1"/>
  <c r="AY8" i="1"/>
  <c r="AX8" i="1"/>
  <c r="BB7" i="1"/>
  <c r="BB14" i="1" s="1"/>
  <c r="BA7" i="1"/>
  <c r="BA14" i="1" s="1"/>
  <c r="AZ7" i="1"/>
  <c r="AZ14" i="1" s="1"/>
  <c r="AY7" i="1"/>
  <c r="AY14" i="1" s="1"/>
  <c r="AX7" i="1"/>
  <c r="BF13" i="1"/>
  <c r="BE13" i="1" s="1"/>
  <c r="BE14" i="1" s="1"/>
  <c r="BE8" i="1"/>
  <c r="BE9" i="1"/>
  <c r="BE10" i="1"/>
  <c r="BE11" i="1"/>
  <c r="BE12" i="1"/>
  <c r="BE7" i="1"/>
  <c r="BG14" i="1"/>
  <c r="BH14" i="1"/>
  <c r="BK14" i="1"/>
  <c r="BJ14" i="1" s="1"/>
  <c r="BL14" i="1"/>
  <c r="BQ14" i="1"/>
  <c r="BP14" i="1" s="1"/>
  <c r="BM14" i="1"/>
  <c r="BN14" i="1"/>
  <c r="BR14" i="1"/>
  <c r="BS14" i="1"/>
  <c r="CO14" i="1"/>
  <c r="CI14" i="1"/>
  <c r="CH14" i="1" s="1"/>
  <c r="CC14" i="1"/>
  <c r="BW14" i="1"/>
  <c r="CR14" i="1"/>
  <c r="CD14" i="1"/>
  <c r="BX14" i="1"/>
  <c r="CL14" i="1"/>
  <c r="CK14" i="1"/>
  <c r="BY14" i="1"/>
  <c r="BV14" i="1" s="1"/>
  <c r="CE14" i="1"/>
  <c r="CF14" i="1"/>
  <c r="CJ14" i="1"/>
  <c r="BZ14" i="1"/>
  <c r="BT14" i="1"/>
  <c r="CQ14" i="1"/>
  <c r="CP14" i="1"/>
  <c r="BD14" i="1"/>
  <c r="AV14" i="1"/>
  <c r="AT14" i="1"/>
  <c r="AS14" i="1"/>
  <c r="S73" i="2"/>
  <c r="V73" i="2"/>
  <c r="Q73" i="2"/>
  <c r="O12" i="2"/>
  <c r="O15" i="2" s="1"/>
  <c r="CN14" i="1"/>
  <c r="CB14" i="1"/>
  <c r="Z14" i="1"/>
  <c r="AX12" i="1"/>
  <c r="H14" i="1" l="1"/>
  <c r="U80" i="2"/>
  <c r="T73" i="2"/>
  <c r="Q80" i="2"/>
  <c r="AX14" i="1"/>
  <c r="X80" i="2"/>
  <c r="T76" i="2"/>
  <c r="P80" i="2"/>
  <c r="S74" i="2"/>
  <c r="S80" i="2" s="1"/>
  <c r="W74" i="2"/>
  <c r="W80" i="2" s="1"/>
  <c r="V61" i="2"/>
  <c r="V64" i="2" s="1"/>
  <c r="V75" i="2"/>
  <c r="V80" i="2" s="1"/>
  <c r="S61" i="2"/>
  <c r="S64" i="2" s="1"/>
  <c r="BF14" i="1"/>
  <c r="T80" i="2" l="1"/>
  <c r="O74" i="2"/>
  <c r="O80" i="2" s="1"/>
  <c r="T75" i="2"/>
  <c r="T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McLaughlin, Errol</author>
  </authors>
  <commentList>
    <comment ref="A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McLaughlin, Errol: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Paste data here.</t>
        </r>
      </text>
    </comment>
  </commentList>
</comments>
</file>

<file path=xl/sharedStrings.xml><?xml version="1.0" encoding="utf-8"?>
<sst xmlns="http://schemas.openxmlformats.org/spreadsheetml/2006/main" count="208" uniqueCount="74">
  <si>
    <t>1st Qtr</t>
  </si>
  <si>
    <t>1. Food &amp; Beverages</t>
  </si>
  <si>
    <t>2. Industrial supplies not elsewhere specified</t>
  </si>
  <si>
    <t>3. Fuels and Lubricants</t>
  </si>
  <si>
    <t>4. Capital goods (except transport equipment)</t>
  </si>
  <si>
    <t>5. Transport equipment, and parts and accessories thereof</t>
  </si>
  <si>
    <t>6. Consumer goods not elsewhere specified</t>
  </si>
  <si>
    <t>TOTAL IMPORTS</t>
  </si>
  <si>
    <t>2nd Qrt</t>
  </si>
  <si>
    <t>3rd Qrt</t>
  </si>
  <si>
    <t>4th Qrt</t>
  </si>
  <si>
    <t>IMPORTS BY BROAD ECONOMIC CATEGORY</t>
  </si>
  <si>
    <t xml:space="preserve"> (CI$000's)</t>
  </si>
  <si>
    <t>1st Qrt</t>
  </si>
  <si>
    <t>7. Goods not elsewhere specified</t>
  </si>
  <si>
    <t>Annual</t>
  </si>
  <si>
    <r>
      <t>1st Qrt</t>
    </r>
    <r>
      <rPr>
        <b/>
        <vertAlign val="superscript"/>
        <sz val="11"/>
        <rFont val="Arial"/>
        <family val="2"/>
      </rPr>
      <t>R</t>
    </r>
  </si>
  <si>
    <r>
      <t>4th Qrt</t>
    </r>
    <r>
      <rPr>
        <b/>
        <vertAlign val="superscript"/>
        <sz val="11"/>
        <rFont val="Arial"/>
        <family val="2"/>
      </rPr>
      <t>R</t>
    </r>
  </si>
  <si>
    <r>
      <t>3rd Qrt</t>
    </r>
    <r>
      <rPr>
        <b/>
        <vertAlign val="superscript"/>
        <sz val="11"/>
        <rFont val="Arial"/>
        <family val="2"/>
      </rPr>
      <t>R</t>
    </r>
  </si>
  <si>
    <r>
      <t>2nd Qrt</t>
    </r>
    <r>
      <rPr>
        <b/>
        <vertAlign val="superscript"/>
        <sz val="11"/>
        <rFont val="Arial"/>
        <family val="2"/>
      </rPr>
      <t>R</t>
    </r>
  </si>
  <si>
    <r>
      <t>3rd Qrt</t>
    </r>
    <r>
      <rPr>
        <b/>
        <vertAlign val="superscript"/>
        <sz val="11"/>
        <rFont val="Arial"/>
        <family val="2"/>
      </rPr>
      <t>P</t>
    </r>
  </si>
  <si>
    <t>Broad Economic Categories</t>
  </si>
  <si>
    <t>%Chg</t>
  </si>
  <si>
    <t xml:space="preserve"> 1.1 Food and beverages</t>
  </si>
  <si>
    <t>11. Primary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</si>
  <si>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</si>
  <si>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</si>
  <si>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</si>
  <si>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</si>
  <si>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</si>
  <si>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2. Industrial supplies not elsewhere specified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</si>
  <si>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</si>
  <si>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</si>
  <si>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</si>
  <si>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</si>
  <si>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</si>
  <si>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</si>
  <si>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</si>
  <si>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4. Capital goods (except transport equipment), and parts and accessories thereof</t>
  </si>
  <si>
    <t xml:space="preserve"> 41. Capital goods (except transport equipment)</t>
  </si>
  <si>
    <t xml:space="preserve"> 42. Parts and accessories</t>
  </si>
  <si>
    <t xml:space="preserve"> 5. Transport equipment, and parts and accessories thereof</t>
  </si>
  <si>
    <t>51. Passenger motor cars</t>
  </si>
  <si>
    <t>52. Other</t>
  </si>
  <si>
    <t>521. Industrial</t>
  </si>
  <si>
    <t xml:space="preserve"> 522. Non-industrial</t>
  </si>
  <si>
    <t xml:space="preserve"> 53. Parts and accessories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</si>
  <si>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</si>
  <si>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</si>
  <si>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</si>
  <si>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</si>
  <si>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</si>
  <si>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Autocheck</t>
  </si>
  <si>
    <t>Table 3. Merchandise Imports by Broad Economic Classification (BEC) (Rev 4)</t>
  </si>
  <si>
    <t>CI$Million</t>
  </si>
  <si>
    <t>CI$ 000</t>
  </si>
  <si>
    <t>Q1</t>
  </si>
  <si>
    <t>Q2</t>
  </si>
  <si>
    <t>YTD</t>
  </si>
  <si>
    <t>Q3</t>
  </si>
  <si>
    <t>Q4</t>
  </si>
  <si>
    <t>OCT</t>
  </si>
  <si>
    <t>NOV</t>
  </si>
  <si>
    <t>DEC</t>
  </si>
  <si>
    <t>Oct-Dec</t>
  </si>
  <si>
    <t>2022/2021</t>
  </si>
  <si>
    <r>
      <t>Annual</t>
    </r>
    <r>
      <rPr>
        <b/>
        <vertAlign val="superscript"/>
        <sz val="11"/>
        <rFont val="Arial"/>
        <family val="2"/>
      </rPr>
      <t>R</t>
    </r>
  </si>
  <si>
    <t>OUTPUT</t>
  </si>
  <si>
    <r>
      <t>4th Qrt</t>
    </r>
    <r>
      <rPr>
        <b/>
        <vertAlign val="superscript"/>
        <sz val="11"/>
        <rFont val="Arial"/>
        <family val="2"/>
      </rPr>
      <t>P</t>
    </r>
  </si>
  <si>
    <r>
      <t>2nd Qrt</t>
    </r>
    <r>
      <rPr>
        <b/>
        <vertAlign val="superscript"/>
        <sz val="11"/>
        <rFont val="Arial"/>
        <family val="2"/>
      </rPr>
      <t>p</t>
    </r>
  </si>
  <si>
    <r>
      <t>1st Qrt</t>
    </r>
    <r>
      <rPr>
        <b/>
        <vertAlign val="superscript"/>
        <sz val="11"/>
        <rFont val="Arial"/>
        <family val="2"/>
      </rPr>
      <t>p</t>
    </r>
  </si>
  <si>
    <r>
      <t>Annual</t>
    </r>
    <r>
      <rPr>
        <b/>
        <vertAlign val="superscript"/>
        <sz val="11"/>
        <rFont val="Arial"/>
        <family val="2"/>
      </rPr>
      <t>P</t>
    </r>
  </si>
  <si>
    <t>2024P</t>
  </si>
  <si>
    <t>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</si>
</sst>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_);_(* \(#,##0.0\);_(* &quot;-&quot;??_);_(@_)"/>
    <numFmt numFmtId="167" formatCode="0.0_);\(0.0\)"/>
    <numFmt numFmtId="168" formatCode="0.0"/>
    <numFmt numFmtId="169" formatCode="_(* #,##0.000_);_(* \(#,##0.000\);_(* &quot;-&quot;??_);_(@_)"/>
    <numFmt numFmtId="170" formatCode="#,##0.000"/>
    <numFmt numFmtId="171" formatCode="_(* #,##0.000_);_(* \(#,##0.000\);_(* &quot;-&quot;???_);_(@_)"/>
  </numFmts>
  <fonts count="2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Book Antiqua"/>
      <family val="1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16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1"/>
      <name val="Book Antiqua"/>
      <family val="1"/>
    </font>
    <font>
      <sz val="12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Calibri"/>
      <family val="2"/>
      <scheme val="minor"/>
    </font>
    <font>
      <sz val="14"/>
      <color theme="1"/>
      <name val="Book Antiqua"/>
      <family val="1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8" fontId="4" fillId="0" borderId="0" xfId="0" applyNumberFormat="1" applyFont="1" applyFill="1" applyBorder="1"/>
    <xf numFmtId="0" fontId="4" fillId="0" borderId="0" xfId="0" applyNumberFormat="1" applyFont="1" applyFill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 applyAlignment="1">
      <alignment wrapText="1"/>
    </xf>
    <xf numFmtId="168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2" fontId="2" fillId="0" borderId="0" xfId="0" applyNumberFormat="1" applyFont="1" applyFill="1" applyBorder="1"/>
    <xf numFmtId="167" fontId="7" fillId="0" borderId="1" xfId="0" applyNumberFormat="1" applyFont="1" applyFill="1" applyBorder="1" applyAlignment="1">
      <alignment horizontal="left" wrapText="1"/>
    </xf>
    <xf numFmtId="167" fontId="7" fillId="0" borderId="0" xfId="0" applyNumberFormat="1" applyFont="1" applyFill="1" applyBorder="1" applyAlignment="1">
      <alignment horizontal="left" wrapText="1"/>
    </xf>
    <xf numFmtId="43" fontId="4" fillId="0" borderId="0" xfId="0" applyNumberFormat="1" applyFont="1" applyFill="1" applyBorder="1" applyAlignment="1"/>
    <xf numFmtId="168" fontId="4" fillId="0" borderId="0" xfId="0" applyNumberFormat="1" applyFont="1" applyFill="1" applyBorder="1" applyAlignment="1">
      <alignment wrapText="1"/>
    </xf>
    <xf numFmtId="0" fontId="4" fillId="0" borderId="0" xfId="0" applyFont="1" applyFill="1"/>
    <xf numFmtId="168" fontId="4" fillId="0" borderId="0" xfId="0" applyNumberFormat="1" applyFont="1" applyFill="1" applyBorder="1" applyAlignment="1"/>
    <xf numFmtId="43" fontId="4" fillId="0" borderId="0" xfId="1" applyFont="1" applyFill="1" applyBorder="1"/>
    <xf numFmtId="43" fontId="4" fillId="0" borderId="0" xfId="1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170" fontId="2" fillId="0" borderId="0" xfId="0" applyNumberFormat="1" applyFont="1" applyFill="1" applyBorder="1"/>
    <xf numFmtId="43" fontId="2" fillId="0" borderId="0" xfId="1" applyFont="1" applyFill="1" applyBorder="1"/>
    <xf numFmtId="169" fontId="2" fillId="0" borderId="0" xfId="1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0" xfId="1" applyNumberFormat="1" applyFont="1" applyFill="1" applyBorder="1"/>
    <xf numFmtId="164" fontId="2" fillId="0" borderId="0" xfId="0" applyNumberFormat="1" applyFont="1" applyFill="1" applyBorder="1"/>
    <xf numFmtId="43" fontId="4" fillId="0" borderId="0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8" fontId="2" fillId="3" borderId="3" xfId="7" applyNumberFormat="1" applyFont="1" applyFill="1" applyBorder="1"/>
    <xf numFmtId="168" fontId="2" fillId="3" borderId="3" xfId="0" applyNumberFormat="1" applyFont="1" applyFill="1" applyBorder="1"/>
    <xf numFmtId="0" fontId="4" fillId="3" borderId="3" xfId="0" applyFont="1" applyFill="1" applyBorder="1"/>
    <xf numFmtId="0" fontId="4" fillId="3" borderId="4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3" fontId="20" fillId="4" borderId="0" xfId="1" applyFont="1" applyFill="1" applyBorder="1"/>
    <xf numFmtId="171" fontId="4" fillId="0" borderId="0" xfId="0" applyNumberFormat="1" applyFont="1" applyFill="1" applyBorder="1"/>
    <xf numFmtId="0" fontId="2" fillId="0" borderId="6" xfId="0" applyFont="1" applyFill="1" applyBorder="1" applyAlignment="1">
      <alignment horizontal="center"/>
    </xf>
    <xf numFmtId="49" fontId="21" fillId="0" borderId="7" xfId="0" applyNumberFormat="1" applyFont="1" applyBorder="1"/>
    <xf numFmtId="49" fontId="22" fillId="4" borderId="8" xfId="4" applyNumberFormat="1" applyFont="1" applyFill="1" applyBorder="1" applyAlignment="1">
      <alignment horizontal="center"/>
    </xf>
    <xf numFmtId="49" fontId="22" fillId="4" borderId="9" xfId="4" applyNumberFormat="1" applyFont="1" applyFill="1" applyBorder="1" applyAlignment="1">
      <alignment horizontal="center"/>
    </xf>
    <xf numFmtId="43" fontId="23" fillId="4" borderId="10" xfId="4" applyFont="1" applyFill="1" applyBorder="1" applyAlignment="1">
      <alignment horizontal="left"/>
    </xf>
    <xf numFmtId="43" fontId="11" fillId="4" borderId="10" xfId="4" applyFont="1" applyFill="1" applyBorder="1" applyAlignment="1">
      <alignment horizontal="center"/>
    </xf>
    <xf numFmtId="43" fontId="11" fillId="4" borderId="6" xfId="4" applyFont="1" applyFill="1" applyBorder="1" applyAlignment="1">
      <alignment horizontal="center"/>
    </xf>
    <xf numFmtId="43" fontId="22" fillId="4" borderId="4" xfId="4" applyFont="1" applyFill="1" applyBorder="1" applyAlignment="1">
      <alignment horizontal="center"/>
    </xf>
    <xf numFmtId="43" fontId="24" fillId="4" borderId="11" xfId="4" applyFont="1" applyFill="1" applyBorder="1" applyAlignment="1">
      <alignment horizontal="center"/>
    </xf>
    <xf numFmtId="0" fontId="11" fillId="4" borderId="12" xfId="0" applyFont="1" applyFill="1" applyBorder="1"/>
    <xf numFmtId="43" fontId="22" fillId="4" borderId="1" xfId="4" applyFont="1" applyFill="1" applyBorder="1"/>
    <xf numFmtId="43" fontId="11" fillId="4" borderId="0" xfId="4" applyFont="1" applyFill="1" applyBorder="1"/>
    <xf numFmtId="43" fontId="22" fillId="4" borderId="13" xfId="4" applyFont="1" applyFill="1" applyBorder="1"/>
    <xf numFmtId="165" fontId="22" fillId="4" borderId="14" xfId="17" applyNumberFormat="1" applyFont="1" applyFill="1" applyBorder="1"/>
    <xf numFmtId="0" fontId="11" fillId="4" borderId="12" xfId="0" applyFont="1" applyFill="1" applyBorder="1" applyAlignment="1">
      <alignment horizontal="left" indent="1"/>
    </xf>
    <xf numFmtId="43" fontId="11" fillId="4" borderId="1" xfId="4" applyFont="1" applyFill="1" applyBorder="1"/>
    <xf numFmtId="43" fontId="11" fillId="4" borderId="3" xfId="4" applyFont="1" applyFill="1" applyBorder="1"/>
    <xf numFmtId="43" fontId="22" fillId="4" borderId="3" xfId="4" applyFont="1" applyFill="1" applyBorder="1"/>
    <xf numFmtId="0" fontId="12" fillId="4" borderId="12" xfId="0" applyFont="1" applyFill="1" applyBorder="1" applyAlignment="1">
      <alignment horizontal="left" indent="2"/>
    </xf>
    <xf numFmtId="2" fontId="12" fillId="4" borderId="1" xfId="0" applyNumberFormat="1" applyFont="1" applyFill="1" applyBorder="1"/>
    <xf numFmtId="2" fontId="12" fillId="4" borderId="0" xfId="0" applyNumberFormat="1" applyFont="1" applyFill="1" applyBorder="1"/>
    <xf numFmtId="43" fontId="12" fillId="4" borderId="3" xfId="4" applyFont="1" applyFill="1" applyBorder="1"/>
    <xf numFmtId="43" fontId="12" fillId="4" borderId="0" xfId="4" applyFont="1" applyFill="1" applyBorder="1"/>
    <xf numFmtId="43" fontId="25" fillId="4" borderId="3" xfId="4" applyFont="1" applyFill="1" applyBorder="1"/>
    <xf numFmtId="165" fontId="25" fillId="4" borderId="14" xfId="17" applyNumberFormat="1" applyFont="1" applyFill="1" applyBorder="1"/>
    <xf numFmtId="43" fontId="12" fillId="4" borderId="1" xfId="4" applyFont="1" applyFill="1" applyBorder="1"/>
    <xf numFmtId="165" fontId="25" fillId="4" borderId="14" xfId="17" applyNumberFormat="1" applyFont="1" applyFill="1" applyBorder="1" applyAlignment="1">
      <alignment horizontal="right"/>
    </xf>
    <xf numFmtId="165" fontId="12" fillId="4" borderId="14" xfId="17" applyNumberFormat="1" applyFont="1" applyFill="1" applyBorder="1"/>
    <xf numFmtId="0" fontId="12" fillId="4" borderId="12" xfId="0" applyFont="1" applyFill="1" applyBorder="1" applyAlignment="1">
      <alignment horizontal="left" indent="3"/>
    </xf>
    <xf numFmtId="0" fontId="11" fillId="4" borderId="12" xfId="0" applyFont="1" applyFill="1" applyBorder="1" applyAlignment="1">
      <alignment horizontal="left" vertical="center" wrapText="1"/>
    </xf>
    <xf numFmtId="165" fontId="11" fillId="4" borderId="14" xfId="17" applyNumberFormat="1" applyFont="1" applyFill="1" applyBorder="1"/>
    <xf numFmtId="0" fontId="12" fillId="4" borderId="12" xfId="0" applyFont="1" applyFill="1" applyBorder="1" applyAlignment="1">
      <alignment horizontal="left" indent="4"/>
    </xf>
    <xf numFmtId="0" fontId="12" fillId="4" borderId="12" xfId="0" applyFont="1" applyFill="1" applyBorder="1"/>
    <xf numFmtId="43" fontId="26" fillId="4" borderId="1" xfId="4" applyFont="1" applyFill="1" applyBorder="1"/>
    <xf numFmtId="43" fontId="26" fillId="4" borderId="0" xfId="4" applyFont="1" applyFill="1" applyBorder="1"/>
    <xf numFmtId="43" fontId="26" fillId="4" borderId="3" xfId="4" applyFont="1" applyFill="1" applyBorder="1"/>
    <xf numFmtId="43" fontId="21" fillId="4" borderId="3" xfId="4" applyFont="1" applyFill="1" applyBorder="1"/>
    <xf numFmtId="0" fontId="11" fillId="0" borderId="12" xfId="0" applyFont="1" applyFill="1" applyBorder="1"/>
    <xf numFmtId="43" fontId="11" fillId="4" borderId="15" xfId="4" applyFont="1" applyFill="1" applyBorder="1"/>
    <xf numFmtId="43" fontId="11" fillId="4" borderId="16" xfId="4" applyFont="1" applyFill="1" applyBorder="1"/>
    <xf numFmtId="43" fontId="11" fillId="4" borderId="17" xfId="4" applyFont="1" applyFill="1" applyBorder="1"/>
    <xf numFmtId="43" fontId="22" fillId="4" borderId="17" xfId="4" applyFont="1" applyFill="1" applyBorder="1"/>
    <xf numFmtId="0" fontId="11" fillId="0" borderId="18" xfId="0" applyFont="1" applyFill="1" applyBorder="1"/>
    <xf numFmtId="166" fontId="23" fillId="4" borderId="19" xfId="4" applyNumberFormat="1" applyFont="1" applyFill="1" applyBorder="1"/>
    <xf numFmtId="166" fontId="10" fillId="4" borderId="20" xfId="4" applyNumberFormat="1" applyFont="1" applyFill="1" applyBorder="1"/>
    <xf numFmtId="166" fontId="23" fillId="4" borderId="20" xfId="4" applyNumberFormat="1" applyFont="1" applyFill="1" applyBorder="1"/>
    <xf numFmtId="165" fontId="13" fillId="4" borderId="21" xfId="17" applyNumberFormat="1" applyFont="1" applyFill="1" applyBorder="1"/>
    <xf numFmtId="49" fontId="11" fillId="5" borderId="8" xfId="4" applyNumberFormat="1" applyFont="1" applyFill="1" applyBorder="1" applyAlignment="1">
      <alignment horizontal="center"/>
    </xf>
    <xf numFmtId="43" fontId="11" fillId="5" borderId="4" xfId="4" applyFont="1" applyFill="1" applyBorder="1" applyAlignment="1">
      <alignment horizontal="center"/>
    </xf>
    <xf numFmtId="43" fontId="11" fillId="5" borderId="2" xfId="4" applyFont="1" applyFill="1" applyBorder="1"/>
    <xf numFmtId="43" fontId="11" fillId="5" borderId="3" xfId="4" applyFont="1" applyFill="1" applyBorder="1"/>
    <xf numFmtId="43" fontId="12" fillId="5" borderId="3" xfId="4" applyFont="1" applyFill="1" applyBorder="1"/>
    <xf numFmtId="43" fontId="26" fillId="5" borderId="3" xfId="4" applyFont="1" applyFill="1" applyBorder="1"/>
    <xf numFmtId="43" fontId="11" fillId="5" borderId="17" xfId="4" applyFont="1" applyFill="1" applyBorder="1"/>
    <xf numFmtId="166" fontId="10" fillId="5" borderId="22" xfId="4" applyNumberFormat="1" applyFont="1" applyFill="1" applyBorder="1"/>
    <xf numFmtId="49" fontId="22" fillId="5" borderId="8" xfId="4" applyNumberFormat="1" applyFont="1" applyFill="1" applyBorder="1" applyAlignment="1">
      <alignment horizontal="center"/>
    </xf>
    <xf numFmtId="43" fontId="22" fillId="5" borderId="4" xfId="4" applyFont="1" applyFill="1" applyBorder="1" applyAlignment="1">
      <alignment horizontal="center"/>
    </xf>
    <xf numFmtId="43" fontId="22" fillId="5" borderId="2" xfId="4" applyFont="1" applyFill="1" applyBorder="1"/>
    <xf numFmtId="43" fontId="22" fillId="5" borderId="3" xfId="4" applyFont="1" applyFill="1" applyBorder="1"/>
    <xf numFmtId="43" fontId="25" fillId="5" borderId="3" xfId="4" applyFont="1" applyFill="1" applyBorder="1"/>
    <xf numFmtId="43" fontId="21" fillId="5" borderId="3" xfId="4" applyFont="1" applyFill="1" applyBorder="1"/>
    <xf numFmtId="43" fontId="22" fillId="5" borderId="17" xfId="4" applyFont="1" applyFill="1" applyBorder="1"/>
    <xf numFmtId="166" fontId="23" fillId="5" borderId="22" xfId="4" applyNumberFormat="1" applyFont="1" applyFill="1" applyBorder="1"/>
    <xf numFmtId="0" fontId="0" fillId="6" borderId="5" xfId="0" applyFill="1" applyBorder="1"/>
    <xf numFmtId="0" fontId="0" fillId="3" borderId="5" xfId="0" applyFill="1" applyBorder="1"/>
    <xf numFmtId="0" fontId="2" fillId="7" borderId="5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49" fontId="4" fillId="3" borderId="5" xfId="0" applyNumberFormat="1" applyFont="1" applyFill="1" applyBorder="1" applyAlignment="1">
      <alignment horizontal="right"/>
    </xf>
    <xf numFmtId="43" fontId="4" fillId="0" borderId="0" xfId="0" applyNumberFormat="1" applyFont="1"/>
    <xf numFmtId="43" fontId="4" fillId="7" borderId="5" xfId="0" applyNumberFormat="1" applyFont="1" applyFill="1" applyBorder="1"/>
    <xf numFmtId="43" fontId="4" fillId="6" borderId="5" xfId="0" applyNumberFormat="1" applyFont="1" applyFill="1" applyBorder="1"/>
    <xf numFmtId="49" fontId="22" fillId="4" borderId="23" xfId="4" applyNumberFormat="1" applyFont="1" applyFill="1" applyBorder="1" applyAlignment="1"/>
    <xf numFmtId="49" fontId="22" fillId="4" borderId="24" xfId="4" applyNumberFormat="1" applyFont="1" applyFill="1" applyBorder="1" applyAlignment="1"/>
    <xf numFmtId="49" fontId="22" fillId="4" borderId="25" xfId="4" applyNumberFormat="1" applyFont="1" applyFill="1" applyBorder="1" applyAlignment="1"/>
    <xf numFmtId="49" fontId="22" fillId="4" borderId="26" xfId="4" applyNumberFormat="1" applyFont="1" applyFill="1" applyBorder="1" applyAlignment="1"/>
    <xf numFmtId="0" fontId="10" fillId="8" borderId="24" xfId="0" applyFont="1" applyFill="1" applyBorder="1" applyAlignment="1">
      <alignment vertical="top" wrapText="1"/>
    </xf>
    <xf numFmtId="0" fontId="10" fillId="8" borderId="27" xfId="0" applyFont="1" applyFill="1" applyBorder="1" applyAlignment="1">
      <alignment vertical="top" wrapText="1"/>
    </xf>
    <xf numFmtId="0" fontId="10" fillId="8" borderId="15" xfId="0" applyFont="1" applyFill="1" applyBorder="1" applyAlignment="1">
      <alignment vertical="top" wrapText="1"/>
    </xf>
    <xf numFmtId="0" fontId="10" fillId="8" borderId="16" xfId="0" applyFont="1" applyFill="1" applyBorder="1" applyAlignment="1">
      <alignment vertical="top" wrapText="1"/>
    </xf>
    <xf numFmtId="0" fontId="10" fillId="8" borderId="0" xfId="0" applyFont="1" applyFill="1" applyBorder="1" applyAlignment="1">
      <alignment vertical="top" wrapText="1"/>
    </xf>
    <xf numFmtId="0" fontId="10" fillId="8" borderId="28" xfId="0" applyFont="1" applyFill="1" applyBorder="1" applyAlignment="1">
      <alignment vertical="top" wrapText="1"/>
    </xf>
    <xf numFmtId="49" fontId="22" fillId="4" borderId="9" xfId="4" applyNumberFormat="1" applyFont="1" applyFill="1" applyBorder="1" applyAlignment="1">
      <alignment horizontal="right"/>
    </xf>
    <xf numFmtId="43" fontId="22" fillId="4" borderId="10" xfId="4" applyFont="1" applyFill="1" applyBorder="1" applyAlignment="1">
      <alignment horizontal="left"/>
    </xf>
    <xf numFmtId="43" fontId="22" fillId="4" borderId="10" xfId="4" applyFont="1" applyFill="1" applyBorder="1" applyAlignment="1">
      <alignment horizontal="right"/>
    </xf>
    <xf numFmtId="43" fontId="22" fillId="4" borderId="6" xfId="4" applyFont="1" applyFill="1" applyBorder="1" applyAlignment="1">
      <alignment horizontal="right"/>
    </xf>
    <xf numFmtId="43" fontId="24" fillId="4" borderId="11" xfId="4" applyFont="1" applyFill="1" applyBorder="1" applyAlignment="1">
      <alignment horizontal="right"/>
    </xf>
    <xf numFmtId="43" fontId="22" fillId="4" borderId="0" xfId="4" applyFont="1" applyFill="1" applyBorder="1"/>
    <xf numFmtId="4" fontId="22" fillId="4" borderId="19" xfId="0" applyNumberFormat="1" applyFont="1" applyFill="1" applyBorder="1"/>
    <xf numFmtId="4" fontId="22" fillId="4" borderId="20" xfId="0" applyNumberFormat="1" applyFont="1" applyFill="1" applyBorder="1"/>
    <xf numFmtId="4" fontId="22" fillId="4" borderId="22" xfId="4" applyNumberFormat="1" applyFont="1" applyFill="1" applyBorder="1"/>
    <xf numFmtId="0" fontId="0" fillId="0" borderId="24" xfId="0" applyBorder="1"/>
    <xf numFmtId="43" fontId="4" fillId="3" borderId="5" xfId="0" applyNumberFormat="1" applyFont="1" applyFill="1" applyBorder="1" applyAlignment="1">
      <alignment horizontal="right"/>
    </xf>
    <xf numFmtId="0" fontId="10" fillId="8" borderId="23" xfId="0" applyFont="1" applyFill="1" applyBorder="1" applyAlignment="1">
      <alignment vertical="top"/>
    </xf>
    <xf numFmtId="0" fontId="4" fillId="3" borderId="5" xfId="0" applyNumberFormat="1" applyFont="1" applyFill="1" applyBorder="1" applyAlignment="1">
      <alignment horizontal="right"/>
    </xf>
    <xf numFmtId="0" fontId="15" fillId="9" borderId="0" xfId="0" applyFont="1" applyFill="1"/>
    <xf numFmtId="0" fontId="0" fillId="0" borderId="0" xfId="0" applyNumberFormat="1"/>
    <xf numFmtId="43" fontId="0" fillId="5" borderId="0" xfId="0" applyNumberFormat="1" applyFill="1"/>
    <xf numFmtId="0" fontId="1" fillId="5" borderId="5" xfId="0" applyFont="1" applyFill="1" applyBorder="1" applyAlignment="1">
      <alignment horizontal="right"/>
    </xf>
    <xf numFmtId="0" fontId="0" fillId="9" borderId="0" xfId="0" applyFill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</cellXfs>
  <cellStyles count="2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_TRADE  Tables 2010 1 qtr" xfId="7" xr:uid="{00000000-0005-0000-0000-000006000000}"/>
    <cellStyle name="Currency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2 3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4" xfId="18" xr:uid="{00000000-0005-0000-0000-000012000000}"/>
    <cellStyle name="Percent 5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/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5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7" sqref="A37"/>
    </sheetView>
  </sheetViews>
  <sheetFormatPr defaultRowHeight="14.25" x14ac:dyDescent="0.2"/>
  <cols>
    <col min="1" max="1" width="57.7109375" style="8" customWidth="1"/>
    <col min="2" max="2" width="12.7109375" style="8" customWidth="1"/>
    <col min="3" max="4" width="10.7109375" style="8" customWidth="1"/>
    <col min="5" max="6" width="10.7109375" style="18" customWidth="1"/>
    <col min="7" max="7" width="2.140625" style="18" customWidth="1"/>
    <col min="8" max="8" width="12.7109375" style="8" customWidth="1"/>
    <col min="9" max="10" width="10.7109375" style="8" customWidth="1"/>
    <col min="11" max="12" width="10.7109375" style="18" customWidth="1"/>
    <col min="13" max="13" width="2.140625" style="18" customWidth="1"/>
    <col min="14" max="14" width="12.7109375" style="8" customWidth="1"/>
    <col min="15" max="16" width="10.7109375" style="8" customWidth="1"/>
    <col min="17" max="18" width="10.7109375" style="18" customWidth="1"/>
    <col min="19" max="19" width="2.140625" style="18" customWidth="1"/>
    <col min="20" max="20" width="12.7109375" style="8" customWidth="1"/>
    <col min="21" max="22" width="10.7109375" style="8" customWidth="1"/>
    <col min="23" max="24" width="10.7109375" style="18" customWidth="1"/>
    <col min="25" max="25" width="2.140625" style="18" customWidth="1"/>
    <col min="26" max="26" width="13" style="18" customWidth="1"/>
    <col min="27" max="30" width="11.140625" style="18" customWidth="1"/>
    <col min="31" max="31" width="2.140625" style="18" customWidth="1"/>
    <col min="32" max="32" width="12.7109375" style="8" customWidth="1"/>
    <col min="33" max="34" width="10.7109375" style="8" customWidth="1"/>
    <col min="35" max="36" width="10.7109375" style="18" customWidth="1"/>
    <col min="37" max="37" width="2.140625" style="18" customWidth="1"/>
    <col min="38" max="38" width="12.7109375" style="8" customWidth="1"/>
    <col min="39" max="40" width="10.7109375" style="8" customWidth="1"/>
    <col min="41" max="42" width="10.7109375" style="18" customWidth="1"/>
    <col min="43" max="43" width="2.140625" style="18" customWidth="1"/>
    <col min="44" max="44" width="12" style="18" customWidth="1"/>
    <col min="45" max="48" width="11.140625" style="18" customWidth="1"/>
    <col min="49" max="49" width="2.140625" style="18" customWidth="1"/>
    <col min="50" max="50" width="12.7109375" style="8" customWidth="1"/>
    <col min="51" max="52" width="11.7109375" style="8" customWidth="1"/>
    <col min="53" max="54" width="11.7109375" style="18" customWidth="1"/>
    <col min="55" max="55" width="2.140625" style="18" customWidth="1"/>
    <col min="56" max="60" width="11.5703125" style="18" customWidth="1"/>
    <col min="61" max="61" width="2.140625" style="18" customWidth="1"/>
    <col min="62" max="66" width="11.5703125" style="18" customWidth="1"/>
    <col min="67" max="67" width="2.140625" style="18" customWidth="1"/>
    <col min="68" max="72" width="11.5703125" style="18" customWidth="1"/>
    <col min="73" max="73" width="2.140625" style="18" customWidth="1"/>
    <col min="74" max="78" width="11.5703125" style="18" customWidth="1"/>
    <col min="79" max="79" width="2.140625" style="18" customWidth="1"/>
    <col min="80" max="84" width="11.5703125" style="18" customWidth="1"/>
    <col min="85" max="85" width="2.140625" style="18" customWidth="1"/>
    <col min="86" max="90" width="11.5703125" style="18" customWidth="1"/>
    <col min="91" max="91" width="2.140625" style="18" customWidth="1"/>
    <col min="92" max="96" width="11.5703125" style="18" customWidth="1"/>
    <col min="97" max="97" width="2.140625" style="18" customWidth="1"/>
    <col min="98" max="102" width="11.5703125" style="18" customWidth="1"/>
    <col min="103" max="16384" width="9.140625" style="8"/>
  </cols>
  <sheetData>
    <row r="1" spans="1:102" s="2" customFormat="1" ht="18" x14ac:dyDescent="0.25">
      <c r="A1" s="38" t="s">
        <v>11</v>
      </c>
      <c r="B1" s="1"/>
      <c r="C1" s="1"/>
      <c r="D1" s="22"/>
      <c r="E1" s="1"/>
      <c r="F1" s="1"/>
      <c r="G1" s="1"/>
      <c r="H1" s="1"/>
      <c r="I1" s="1"/>
      <c r="J1" s="22"/>
      <c r="K1" s="1"/>
      <c r="L1" s="1"/>
      <c r="M1" s="1"/>
      <c r="N1" s="1"/>
      <c r="O1" s="1"/>
      <c r="P1" s="22"/>
      <c r="Q1" s="1"/>
      <c r="R1" s="1"/>
      <c r="S1" s="1"/>
      <c r="T1" s="1"/>
      <c r="U1" s="1"/>
      <c r="V1" s="22"/>
      <c r="W1" s="1"/>
      <c r="X1" s="1"/>
      <c r="Y1" s="1"/>
      <c r="Z1" s="1"/>
      <c r="AA1" s="1"/>
      <c r="AB1" s="1"/>
      <c r="AC1" s="1"/>
      <c r="AE1" s="1"/>
      <c r="AF1" s="1"/>
      <c r="AG1" s="1"/>
      <c r="AH1" s="22"/>
      <c r="AI1" s="1"/>
      <c r="AJ1" s="1"/>
      <c r="AK1" s="1"/>
      <c r="AL1" s="1"/>
      <c r="AM1" s="1"/>
      <c r="AN1" s="22"/>
      <c r="AO1" s="1"/>
      <c r="AP1" s="1"/>
      <c r="AQ1" s="1"/>
      <c r="AR1" s="1"/>
      <c r="AS1" s="1"/>
      <c r="AT1" s="1"/>
      <c r="AU1" s="1"/>
      <c r="AW1" s="1"/>
      <c r="AX1" s="1"/>
      <c r="AY1" s="1"/>
      <c r="AZ1" s="1"/>
      <c r="BA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3"/>
      <c r="CB1" s="1"/>
      <c r="CC1" s="1"/>
      <c r="CD1" s="1"/>
      <c r="CE1" s="1"/>
      <c r="CF1" s="1"/>
      <c r="CG1" s="12"/>
      <c r="CH1" s="1"/>
      <c r="CI1" s="1"/>
      <c r="CJ1" s="1"/>
      <c r="CK1" s="1"/>
      <c r="CL1" s="1"/>
      <c r="CN1" s="1"/>
      <c r="CO1" s="1"/>
      <c r="CP1" s="1"/>
      <c r="CQ1" s="1"/>
      <c r="CR1" s="1"/>
      <c r="CT1" s="1"/>
      <c r="CU1" s="1"/>
      <c r="CV1" s="1"/>
      <c r="CW1" s="1"/>
      <c r="CX1" s="1"/>
    </row>
    <row r="2" spans="1:102" s="2" customFormat="1" ht="18" x14ac:dyDescent="0.25">
      <c r="A2" s="40">
        <f>((1000))</f>
        <v>1000</v>
      </c>
      <c r="BF2" s="11"/>
      <c r="BG2" s="11"/>
      <c r="BH2" s="11"/>
      <c r="BL2" s="11"/>
      <c r="BM2" s="11"/>
      <c r="BN2" s="11"/>
      <c r="BR2" s="11"/>
      <c r="BS2" s="11"/>
      <c r="BT2" s="11"/>
      <c r="BX2" s="11"/>
      <c r="BY2" s="11"/>
      <c r="BZ2" s="11"/>
      <c r="CD2" s="11"/>
      <c r="CE2" s="11"/>
      <c r="CF2" s="11"/>
      <c r="CJ2" s="11"/>
      <c r="CK2" s="11"/>
      <c r="CL2" s="11"/>
      <c r="CP2" s="11"/>
      <c r="CQ2" s="11"/>
      <c r="CR2" s="11"/>
    </row>
    <row r="3" spans="1:102" s="2" customFormat="1" ht="18" x14ac:dyDescent="0.25">
      <c r="A3" s="39" t="s">
        <v>12</v>
      </c>
      <c r="B3" s="145" t="s">
        <v>73</v>
      </c>
      <c r="C3" s="146"/>
      <c r="D3" s="146"/>
      <c r="E3" s="146"/>
      <c r="F3" s="147"/>
      <c r="G3" s="31"/>
      <c r="H3" s="145" t="s">
        <v>72</v>
      </c>
      <c r="I3" s="146"/>
      <c r="J3" s="146"/>
      <c r="K3" s="146"/>
      <c r="L3" s="147"/>
      <c r="M3" s="31"/>
      <c r="N3" s="142">
        <v>2023</v>
      </c>
      <c r="O3" s="143"/>
      <c r="P3" s="143"/>
      <c r="Q3" s="143"/>
      <c r="R3" s="144"/>
      <c r="S3" s="31"/>
      <c r="T3" s="142">
        <v>2022</v>
      </c>
      <c r="U3" s="143"/>
      <c r="V3" s="143"/>
      <c r="W3" s="143"/>
      <c r="X3" s="144"/>
      <c r="Y3" s="31"/>
      <c r="Z3" s="142">
        <v>2021</v>
      </c>
      <c r="AA3" s="143"/>
      <c r="AB3" s="143"/>
      <c r="AC3" s="143"/>
      <c r="AD3" s="144"/>
      <c r="AE3" s="31"/>
      <c r="AF3" s="142">
        <v>2020</v>
      </c>
      <c r="AG3" s="143"/>
      <c r="AH3" s="143"/>
      <c r="AI3" s="143"/>
      <c r="AJ3" s="144"/>
      <c r="AK3" s="31"/>
      <c r="AL3" s="142">
        <v>2019</v>
      </c>
      <c r="AM3" s="143"/>
      <c r="AN3" s="143"/>
      <c r="AO3" s="143"/>
      <c r="AP3" s="144"/>
      <c r="AQ3" s="31"/>
      <c r="AR3" s="142">
        <v>2018</v>
      </c>
      <c r="AS3" s="143"/>
      <c r="AT3" s="143"/>
      <c r="AU3" s="143"/>
      <c r="AV3" s="144"/>
      <c r="AW3" s="31"/>
      <c r="AX3" s="143">
        <v>2017</v>
      </c>
      <c r="AY3" s="143"/>
      <c r="AZ3" s="143"/>
      <c r="BA3" s="143"/>
      <c r="BB3" s="143"/>
      <c r="BC3" s="31"/>
      <c r="BD3" s="143">
        <v>2016</v>
      </c>
      <c r="BE3" s="143"/>
      <c r="BF3" s="143"/>
      <c r="BG3" s="143"/>
      <c r="BH3" s="143"/>
      <c r="BI3" s="31"/>
      <c r="BJ3" s="143">
        <v>2015</v>
      </c>
      <c r="BK3" s="143"/>
      <c r="BL3" s="143"/>
      <c r="BM3" s="143"/>
      <c r="BN3" s="143"/>
      <c r="BO3" s="31"/>
      <c r="BP3" s="143">
        <v>2014</v>
      </c>
      <c r="BQ3" s="143"/>
      <c r="BR3" s="143"/>
      <c r="BS3" s="143"/>
      <c r="BT3" s="143"/>
      <c r="BU3" s="31"/>
      <c r="BV3" s="143">
        <v>2013</v>
      </c>
      <c r="BW3" s="143"/>
      <c r="BX3" s="143"/>
      <c r="BY3" s="143"/>
      <c r="BZ3" s="143"/>
      <c r="CA3" s="31"/>
      <c r="CB3" s="143">
        <v>2012</v>
      </c>
      <c r="CC3" s="143"/>
      <c r="CD3" s="143"/>
      <c r="CE3" s="143"/>
      <c r="CF3" s="144"/>
      <c r="CG3" s="31"/>
      <c r="CH3" s="142">
        <v>2011</v>
      </c>
      <c r="CI3" s="143"/>
      <c r="CJ3" s="143"/>
      <c r="CK3" s="143"/>
      <c r="CL3" s="144"/>
      <c r="CM3" s="31"/>
      <c r="CN3" s="142">
        <v>2010</v>
      </c>
      <c r="CO3" s="143"/>
      <c r="CP3" s="143"/>
      <c r="CQ3" s="143"/>
      <c r="CR3" s="144"/>
      <c r="CS3" s="31"/>
      <c r="CT3" s="11"/>
      <c r="CU3" s="12"/>
      <c r="CV3" s="12"/>
      <c r="CW3" s="12"/>
      <c r="CX3" s="12"/>
    </row>
    <row r="4" spans="1:102" s="2" customFormat="1" ht="15" x14ac:dyDescent="0.25">
      <c r="G4" s="32"/>
      <c r="M4" s="32"/>
      <c r="S4" s="32"/>
      <c r="Y4" s="32"/>
      <c r="AE4" s="32"/>
      <c r="AK4" s="32"/>
      <c r="AQ4" s="32"/>
      <c r="AW4" s="32"/>
      <c r="BC4" s="32"/>
      <c r="BI4" s="32"/>
      <c r="BO4" s="32"/>
      <c r="BU4" s="32"/>
      <c r="CA4" s="32"/>
      <c r="CG4" s="32"/>
      <c r="CM4" s="32"/>
      <c r="CS4" s="32"/>
    </row>
    <row r="5" spans="1:102" s="2" customFormat="1" ht="17.25" x14ac:dyDescent="0.25">
      <c r="B5" s="27" t="s">
        <v>71</v>
      </c>
      <c r="C5" s="3" t="s">
        <v>68</v>
      </c>
      <c r="D5" s="3" t="s">
        <v>20</v>
      </c>
      <c r="E5" s="3" t="s">
        <v>69</v>
      </c>
      <c r="F5" s="42" t="s">
        <v>70</v>
      </c>
      <c r="G5" s="32"/>
      <c r="H5" s="27" t="s">
        <v>71</v>
      </c>
      <c r="I5" s="3" t="s">
        <v>68</v>
      </c>
      <c r="J5" s="3" t="s">
        <v>20</v>
      </c>
      <c r="K5" s="3" t="s">
        <v>69</v>
      </c>
      <c r="L5" s="42" t="s">
        <v>70</v>
      </c>
      <c r="M5" s="32"/>
      <c r="N5" s="27" t="s">
        <v>71</v>
      </c>
      <c r="O5" s="3" t="s">
        <v>68</v>
      </c>
      <c r="P5" s="3" t="s">
        <v>20</v>
      </c>
      <c r="Q5" s="3" t="s">
        <v>69</v>
      </c>
      <c r="R5" s="42" t="s">
        <v>70</v>
      </c>
      <c r="S5" s="32"/>
      <c r="T5" s="3" t="s">
        <v>66</v>
      </c>
      <c r="U5" s="3" t="s">
        <v>17</v>
      </c>
      <c r="V5" s="3" t="s">
        <v>18</v>
      </c>
      <c r="W5" s="3" t="s">
        <v>19</v>
      </c>
      <c r="X5" s="42" t="s">
        <v>16</v>
      </c>
      <c r="Y5" s="32"/>
      <c r="Z5" s="27" t="s">
        <v>15</v>
      </c>
      <c r="AA5" s="3" t="s">
        <v>10</v>
      </c>
      <c r="AB5" s="3" t="s">
        <v>9</v>
      </c>
      <c r="AC5" s="3" t="s">
        <v>8</v>
      </c>
      <c r="AD5" s="3" t="s">
        <v>0</v>
      </c>
      <c r="AE5" s="32"/>
      <c r="AF5" s="27" t="s">
        <v>15</v>
      </c>
      <c r="AG5" s="3" t="s">
        <v>10</v>
      </c>
      <c r="AH5" s="3" t="s">
        <v>9</v>
      </c>
      <c r="AI5" s="3" t="s">
        <v>8</v>
      </c>
      <c r="AJ5" s="3" t="s">
        <v>0</v>
      </c>
      <c r="AK5" s="32"/>
      <c r="AL5" s="27" t="s">
        <v>15</v>
      </c>
      <c r="AM5" s="3" t="s">
        <v>10</v>
      </c>
      <c r="AN5" s="3" t="s">
        <v>9</v>
      </c>
      <c r="AO5" s="3" t="s">
        <v>8</v>
      </c>
      <c r="AP5" s="3" t="s">
        <v>0</v>
      </c>
      <c r="AQ5" s="32"/>
      <c r="AR5" s="27" t="s">
        <v>15</v>
      </c>
      <c r="AS5" s="3" t="s">
        <v>10</v>
      </c>
      <c r="AT5" s="3" t="s">
        <v>9</v>
      </c>
      <c r="AU5" s="3" t="s">
        <v>8</v>
      </c>
      <c r="AV5" s="3" t="s">
        <v>0</v>
      </c>
      <c r="AW5" s="32"/>
      <c r="AX5" s="27" t="s">
        <v>15</v>
      </c>
      <c r="AY5" s="3" t="s">
        <v>10</v>
      </c>
      <c r="AZ5" s="3" t="s">
        <v>9</v>
      </c>
      <c r="BA5" s="3" t="s">
        <v>8</v>
      </c>
      <c r="BB5" s="3" t="s">
        <v>0</v>
      </c>
      <c r="BC5" s="32"/>
      <c r="BD5" s="27" t="s">
        <v>15</v>
      </c>
      <c r="BE5" s="3" t="s">
        <v>10</v>
      </c>
      <c r="BF5" s="3" t="s">
        <v>9</v>
      </c>
      <c r="BG5" s="3" t="s">
        <v>8</v>
      </c>
      <c r="BH5" s="3" t="s">
        <v>0</v>
      </c>
      <c r="BI5" s="32"/>
      <c r="BJ5" s="27" t="s">
        <v>15</v>
      </c>
      <c r="BK5" s="3" t="s">
        <v>10</v>
      </c>
      <c r="BL5" s="3" t="s">
        <v>9</v>
      </c>
      <c r="BM5" s="3" t="s">
        <v>8</v>
      </c>
      <c r="BN5" s="3" t="s">
        <v>0</v>
      </c>
      <c r="BO5" s="32"/>
      <c r="BP5" s="27" t="s">
        <v>15</v>
      </c>
      <c r="BQ5" s="3" t="s">
        <v>10</v>
      </c>
      <c r="BR5" s="3" t="s">
        <v>9</v>
      </c>
      <c r="BS5" s="3" t="s">
        <v>8</v>
      </c>
      <c r="BT5" s="3" t="s">
        <v>0</v>
      </c>
      <c r="BU5" s="32"/>
      <c r="BV5" s="27" t="s">
        <v>15</v>
      </c>
      <c r="BW5" s="3" t="s">
        <v>10</v>
      </c>
      <c r="BX5" s="3" t="s">
        <v>9</v>
      </c>
      <c r="BY5" s="3" t="s">
        <v>8</v>
      </c>
      <c r="BZ5" s="3" t="s">
        <v>13</v>
      </c>
      <c r="CA5" s="32"/>
      <c r="CB5" s="27" t="s">
        <v>15</v>
      </c>
      <c r="CC5" s="3" t="s">
        <v>10</v>
      </c>
      <c r="CD5" s="3" t="s">
        <v>9</v>
      </c>
      <c r="CE5" s="3" t="s">
        <v>8</v>
      </c>
      <c r="CF5" s="3" t="s">
        <v>0</v>
      </c>
      <c r="CG5" s="32"/>
      <c r="CH5" s="27" t="s">
        <v>15</v>
      </c>
      <c r="CI5" s="3" t="s">
        <v>10</v>
      </c>
      <c r="CJ5" s="3" t="s">
        <v>9</v>
      </c>
      <c r="CK5" s="3" t="s">
        <v>8</v>
      </c>
      <c r="CL5" s="3" t="s">
        <v>0</v>
      </c>
      <c r="CM5" s="32"/>
      <c r="CN5" s="27" t="s">
        <v>15</v>
      </c>
      <c r="CO5" s="3" t="s">
        <v>10</v>
      </c>
      <c r="CP5" s="3" t="s">
        <v>9</v>
      </c>
      <c r="CQ5" s="3" t="s">
        <v>8</v>
      </c>
      <c r="CR5" s="3" t="s">
        <v>13</v>
      </c>
      <c r="CS5" s="32"/>
      <c r="CU5" s="3"/>
      <c r="CV5" s="3"/>
      <c r="CW5" s="3"/>
      <c r="CX5" s="3"/>
    </row>
    <row r="6" spans="1:102" s="2" customFormat="1" ht="15" x14ac:dyDescent="0.25">
      <c r="G6" s="33"/>
      <c r="M6" s="33"/>
      <c r="S6" s="33"/>
      <c r="Y6" s="33"/>
      <c r="AE6" s="33"/>
      <c r="AK6" s="33"/>
      <c r="AQ6" s="33"/>
      <c r="AW6" s="33"/>
      <c r="BC6" s="33"/>
      <c r="BI6" s="33"/>
      <c r="BO6" s="33"/>
      <c r="BU6" s="33"/>
      <c r="CA6" s="33"/>
      <c r="CG6" s="33"/>
      <c r="CM6" s="33"/>
      <c r="CS6" s="33"/>
    </row>
    <row r="7" spans="1:102" s="4" customFormat="1" ht="15" x14ac:dyDescent="0.25">
      <c r="A7" s="2" t="s">
        <v>1</v>
      </c>
      <c r="B7" s="20">
        <f t="shared" ref="B7:B13" si="0">SUM(C7:F7)</f>
        <v>275.18930293099999</v>
      </c>
      <c r="C7" s="111"/>
      <c r="D7" s="111">
        <v>79.942004777999998</v>
      </c>
      <c r="E7" s="111">
        <v>89.523071955999995</v>
      </c>
      <c r="F7" s="111">
        <v>105.72422619699999</v>
      </c>
      <c r="G7" s="34"/>
      <c r="H7" s="20">
        <f t="shared" ref="H7:H13" si="1">SUM(I7:L7)</f>
        <v>244.82178119900001</v>
      </c>
      <c r="I7" s="111"/>
      <c r="J7" s="111">
        <v>75.217514733000002</v>
      </c>
      <c r="K7" s="111">
        <v>84.521866430000003</v>
      </c>
      <c r="L7" s="111">
        <v>85.082400035999996</v>
      </c>
      <c r="M7" s="34"/>
      <c r="N7" s="20">
        <f t="shared" ref="N7:N13" si="2">SUM(O7:R7)</f>
        <v>308.80958876300002</v>
      </c>
      <c r="O7" s="111">
        <v>78.574194288000001</v>
      </c>
      <c r="P7" s="111">
        <v>74.649595007000002</v>
      </c>
      <c r="Q7" s="111">
        <v>78.798733872</v>
      </c>
      <c r="R7" s="111">
        <v>76.787065596000005</v>
      </c>
      <c r="S7" s="34"/>
      <c r="T7" s="20">
        <f t="shared" ref="T7:T13" si="3">SUM(U7:X7)</f>
        <v>289.51918390100002</v>
      </c>
      <c r="U7" s="111">
        <v>79.472479753000002</v>
      </c>
      <c r="V7" s="111">
        <v>70.093269086999996</v>
      </c>
      <c r="W7" s="111">
        <v>74.988250273000006</v>
      </c>
      <c r="X7" s="111">
        <v>64.965184788000002</v>
      </c>
      <c r="Y7" s="34"/>
      <c r="Z7" s="20">
        <f t="shared" ref="Z7:Z13" si="4">SUM(AA7:AD7)</f>
        <v>233.32370017732981</v>
      </c>
      <c r="AA7" s="20">
        <v>66.449764850711659</v>
      </c>
      <c r="AB7" s="20">
        <v>56.630062414654134</v>
      </c>
      <c r="AC7" s="20">
        <v>58.522185370435999</v>
      </c>
      <c r="AD7" s="20">
        <v>51.721687541528006</v>
      </c>
      <c r="AE7" s="34"/>
      <c r="AF7" s="20">
        <f t="shared" ref="AF7:AF13" si="5">SUM(AG7:AJ7)</f>
        <v>219.33216855738505</v>
      </c>
      <c r="AG7" s="20">
        <v>62.561468481416874</v>
      </c>
      <c r="AH7" s="20">
        <v>47.847185442288279</v>
      </c>
      <c r="AI7" s="20">
        <v>46.607469662627686</v>
      </c>
      <c r="AJ7" s="20">
        <v>62.316044971052222</v>
      </c>
      <c r="AK7" s="34"/>
      <c r="AL7" s="20">
        <f t="shared" ref="AL7:AL13" si="6">SUM(AM7:AP7)</f>
        <v>234.26177166770077</v>
      </c>
      <c r="AM7" s="20">
        <v>64.070076238519235</v>
      </c>
      <c r="AN7" s="20">
        <v>52.556619121773622</v>
      </c>
      <c r="AO7" s="20">
        <v>58.900994924606103</v>
      </c>
      <c r="AP7" s="20">
        <v>58.734081382801804</v>
      </c>
      <c r="AQ7" s="34"/>
      <c r="AR7" s="20">
        <f t="shared" ref="AR7:AR13" si="7">SUM(AS7:AV7)</f>
        <v>218.94779629624699</v>
      </c>
      <c r="AS7" s="20">
        <v>60.1021941218441</v>
      </c>
      <c r="AT7" s="20">
        <v>52.261265176330099</v>
      </c>
      <c r="AU7" s="20">
        <v>51.961445859483682</v>
      </c>
      <c r="AV7" s="20">
        <v>54.62289113858909</v>
      </c>
      <c r="AW7" s="34"/>
      <c r="AX7" s="20">
        <f t="shared" ref="AX7:AX13" si="8">SUM(AY7:BB7)</f>
        <v>202.10692837994009</v>
      </c>
      <c r="AY7" s="20">
        <f>55681224.3246726/(1000000)</f>
        <v>55.681224324672606</v>
      </c>
      <c r="AZ7" s="20">
        <f>47753647.1290091/(1000000)</f>
        <v>47.753647129009096</v>
      </c>
      <c r="BA7" s="20">
        <f>48336230.9685217/(1000000)</f>
        <v>48.336230968521697</v>
      </c>
      <c r="BB7" s="20">
        <f>50335825.9577367/(1000000)</f>
        <v>50.335825957736702</v>
      </c>
      <c r="BC7" s="34"/>
      <c r="BD7" s="5">
        <v>198.52680056115545</v>
      </c>
      <c r="BE7" s="5">
        <f>BD7-SUM(BF7:BH7)</f>
        <v>52.630215080854043</v>
      </c>
      <c r="BF7" s="5">
        <v>49.64601783156651</v>
      </c>
      <c r="BG7" s="5">
        <v>46.497524757563411</v>
      </c>
      <c r="BH7" s="5">
        <v>49.753042891171496</v>
      </c>
      <c r="BI7" s="34"/>
      <c r="BJ7" s="5">
        <f>SUM(BK7:BN7)</f>
        <v>192.03393118727479</v>
      </c>
      <c r="BK7" s="5">
        <v>50.120357640477494</v>
      </c>
      <c r="BL7" s="5">
        <v>44.170439999999999</v>
      </c>
      <c r="BM7" s="5">
        <v>46.345303871229397</v>
      </c>
      <c r="BN7" s="5">
        <v>51.397829675567898</v>
      </c>
      <c r="BO7" s="34"/>
      <c r="BP7" s="5">
        <f>SUM(BQ7:BT7)</f>
        <v>186.85368276397782</v>
      </c>
      <c r="BQ7" s="5">
        <v>49.803285526014697</v>
      </c>
      <c r="BR7" s="5">
        <v>43.490069933265552</v>
      </c>
      <c r="BS7" s="5">
        <v>46.633133140554655</v>
      </c>
      <c r="BT7" s="5">
        <v>46.927194164142904</v>
      </c>
      <c r="BU7" s="34"/>
      <c r="BV7" s="5">
        <f>SUM(BW7:BZ7)</f>
        <v>161.4</v>
      </c>
      <c r="BW7" s="5">
        <v>46.41040961723526</v>
      </c>
      <c r="BX7" s="5">
        <v>35.200000000000003</v>
      </c>
      <c r="BY7" s="5">
        <v>38.4</v>
      </c>
      <c r="BZ7" s="5">
        <v>41.38959038276473</v>
      </c>
      <c r="CA7" s="34"/>
      <c r="CB7" s="5">
        <f>SUM(CC7:CF7)</f>
        <v>149.90000000000003</v>
      </c>
      <c r="CC7" s="5">
        <v>40.970000000000006</v>
      </c>
      <c r="CD7" s="5">
        <v>35.770000000000003</v>
      </c>
      <c r="CE7" s="5">
        <v>35.46</v>
      </c>
      <c r="CF7" s="5">
        <v>37.700000000000003</v>
      </c>
      <c r="CG7" s="34"/>
      <c r="CH7" s="5">
        <f>SUM(CI7:CL7)</f>
        <v>140.1</v>
      </c>
      <c r="CI7" s="5">
        <v>37.919999999999995</v>
      </c>
      <c r="CJ7" s="5">
        <v>33.96</v>
      </c>
      <c r="CK7" s="5">
        <v>34.22</v>
      </c>
      <c r="CL7" s="5">
        <v>34</v>
      </c>
      <c r="CM7" s="34"/>
      <c r="CN7" s="5">
        <f>SUM(CO7:CR7)</f>
        <v>135.80000000000001</v>
      </c>
      <c r="CO7" s="5">
        <v>35.100000000000009</v>
      </c>
      <c r="CP7" s="5">
        <v>32.700000000000003</v>
      </c>
      <c r="CQ7" s="5">
        <v>34.4</v>
      </c>
      <c r="CR7" s="5">
        <v>33.6</v>
      </c>
      <c r="CS7" s="34"/>
      <c r="CT7" s="2"/>
      <c r="CU7" s="5"/>
      <c r="CV7" s="5"/>
      <c r="CW7" s="5"/>
      <c r="CX7" s="5"/>
    </row>
    <row r="8" spans="1:102" s="4" customFormat="1" ht="15" x14ac:dyDescent="0.25">
      <c r="A8" s="2" t="s">
        <v>2</v>
      </c>
      <c r="B8" s="20">
        <f t="shared" si="0"/>
        <v>275.71260538600001</v>
      </c>
      <c r="C8" s="111"/>
      <c r="D8" s="111">
        <v>93.381588909999991</v>
      </c>
      <c r="E8" s="111">
        <v>86.449103502</v>
      </c>
      <c r="F8" s="111">
        <v>95.881912974000002</v>
      </c>
      <c r="G8" s="35"/>
      <c r="H8" s="20">
        <f t="shared" si="1"/>
        <v>241.05477185699999</v>
      </c>
      <c r="I8" s="111"/>
      <c r="J8" s="111">
        <v>92.118519874</v>
      </c>
      <c r="K8" s="111">
        <v>75.432663629999993</v>
      </c>
      <c r="L8" s="111">
        <v>73.503588352999998</v>
      </c>
      <c r="M8" s="35"/>
      <c r="N8" s="20">
        <f t="shared" si="2"/>
        <v>272.70083009699999</v>
      </c>
      <c r="O8" s="111">
        <v>71.91866546</v>
      </c>
      <c r="P8" s="111">
        <v>68.933075193000008</v>
      </c>
      <c r="Q8" s="111">
        <v>66.668940180999996</v>
      </c>
      <c r="R8" s="111">
        <v>65.18014926299999</v>
      </c>
      <c r="S8" s="35"/>
      <c r="T8" s="20">
        <f t="shared" si="3"/>
        <v>317.97763125999995</v>
      </c>
      <c r="U8" s="111">
        <v>66.207940199999996</v>
      </c>
      <c r="V8" s="111">
        <v>82.752414849999994</v>
      </c>
      <c r="W8" s="111">
        <v>86.478428190000002</v>
      </c>
      <c r="X8" s="111">
        <v>82.538848019999989</v>
      </c>
      <c r="Y8" s="35"/>
      <c r="Z8" s="20">
        <f t="shared" si="4"/>
        <v>311.68517149579776</v>
      </c>
      <c r="AA8" s="20">
        <v>81.576136809999966</v>
      </c>
      <c r="AB8" s="20">
        <v>78.731271797299996</v>
      </c>
      <c r="AC8" s="20">
        <v>75.447182480720102</v>
      </c>
      <c r="AD8" s="20">
        <v>75.930580407777683</v>
      </c>
      <c r="AE8" s="35"/>
      <c r="AF8" s="20">
        <f t="shared" si="5"/>
        <v>321.37938587812397</v>
      </c>
      <c r="AG8" s="20">
        <v>89.111795768398537</v>
      </c>
      <c r="AH8" s="20">
        <v>103.1580802649391</v>
      </c>
      <c r="AI8" s="20">
        <v>71.079764177906412</v>
      </c>
      <c r="AJ8" s="20">
        <v>58.029745666879933</v>
      </c>
      <c r="AK8" s="35"/>
      <c r="AL8" s="20">
        <f t="shared" si="6"/>
        <v>273.5868126600144</v>
      </c>
      <c r="AM8" s="20">
        <v>58.122652143697408</v>
      </c>
      <c r="AN8" s="20">
        <v>110.79181610454245</v>
      </c>
      <c r="AO8" s="20">
        <v>54.503637262153596</v>
      </c>
      <c r="AP8" s="20">
        <v>50.1687071496209</v>
      </c>
      <c r="AQ8" s="35"/>
      <c r="AR8" s="20">
        <f t="shared" si="7"/>
        <v>202.14329293088755</v>
      </c>
      <c r="AS8" s="20">
        <v>52.944600967580712</v>
      </c>
      <c r="AT8" s="20">
        <v>56.105510850606173</v>
      </c>
      <c r="AU8" s="20">
        <v>47.4065818186222</v>
      </c>
      <c r="AV8" s="20">
        <v>45.686599294078491</v>
      </c>
      <c r="AW8" s="35"/>
      <c r="AX8" s="20">
        <f t="shared" si="8"/>
        <v>163.46793688699591</v>
      </c>
      <c r="AY8" s="20">
        <f>45879708.3417569/(1000000)</f>
        <v>45.879708341756903</v>
      </c>
      <c r="AZ8" s="20">
        <f>38652477.8764177/(1000000)</f>
        <v>38.652477876417699</v>
      </c>
      <c r="BA8" s="20">
        <f>41904241.4378802/(1000000)</f>
        <v>41.904241437880202</v>
      </c>
      <c r="BB8" s="20">
        <f>37031509.2309411/(1000000)</f>
        <v>37.031509230941104</v>
      </c>
      <c r="BC8" s="35"/>
      <c r="BD8" s="5">
        <v>172.75408490179998</v>
      </c>
      <c r="BE8" s="5">
        <f t="shared" ref="BE8:BE13" si="9">BD8-SUM(BF8:BH8)</f>
        <v>36.884725371000002</v>
      </c>
      <c r="BF8" s="5">
        <v>50.721169064800002</v>
      </c>
      <c r="BG8" s="5">
        <v>43.192450100799988</v>
      </c>
      <c r="BH8" s="5">
        <v>41.9557403652</v>
      </c>
      <c r="BI8" s="35"/>
      <c r="BJ8" s="5">
        <f t="shared" ref="BJ8:BJ14" si="10">SUM(BK8:BN8)</f>
        <v>112.22148002</v>
      </c>
      <c r="BK8" s="5">
        <v>33.08058247000001</v>
      </c>
      <c r="BL8" s="5">
        <v>27.32668</v>
      </c>
      <c r="BM8" s="5">
        <v>26.741053900000001</v>
      </c>
      <c r="BN8" s="5">
        <v>25.073163650000001</v>
      </c>
      <c r="BO8" s="35"/>
      <c r="BP8" s="5">
        <f t="shared" ref="BP8:BP14" si="11">SUM(BQ8:BT8)</f>
        <v>108.80439973999999</v>
      </c>
      <c r="BQ8" s="5">
        <v>28.465917650000002</v>
      </c>
      <c r="BR8" s="5">
        <v>29.46679906</v>
      </c>
      <c r="BS8" s="5">
        <v>25.072539190000008</v>
      </c>
      <c r="BT8" s="5">
        <v>25.799143839999989</v>
      </c>
      <c r="BU8" s="35"/>
      <c r="BV8" s="5">
        <f t="shared" ref="BV8:BV14" si="12">SUM(BW8:BZ8)</f>
        <v>133.19999999999999</v>
      </c>
      <c r="BW8" s="5">
        <v>40.719999999999985</v>
      </c>
      <c r="BX8" s="5">
        <v>35.200000000000003</v>
      </c>
      <c r="BY8" s="5">
        <v>32.6</v>
      </c>
      <c r="BZ8" s="5">
        <v>24.68</v>
      </c>
      <c r="CA8" s="35"/>
      <c r="CB8" s="5">
        <f t="shared" ref="CB8:CB14" si="13">SUM(CC8:CF8)</f>
        <v>125</v>
      </c>
      <c r="CC8" s="5">
        <v>21.5</v>
      </c>
      <c r="CD8" s="5">
        <v>37.6</v>
      </c>
      <c r="CE8" s="5">
        <v>41.4</v>
      </c>
      <c r="CF8" s="5">
        <v>24.5</v>
      </c>
      <c r="CG8" s="35"/>
      <c r="CH8" s="5">
        <f t="shared" ref="CH8:CH14" si="14">SUM(CI8:CL8)</f>
        <v>105.5</v>
      </c>
      <c r="CI8" s="5">
        <v>28.160000000000004</v>
      </c>
      <c r="CJ8" s="5">
        <v>36.270000000000003</v>
      </c>
      <c r="CK8" s="5">
        <v>22.97</v>
      </c>
      <c r="CL8" s="5">
        <v>18.100000000000001</v>
      </c>
      <c r="CM8" s="35"/>
      <c r="CN8" s="5">
        <f t="shared" ref="CN8:CN14" si="15">SUM(CO8:CR8)</f>
        <v>106</v>
      </c>
      <c r="CO8" s="5">
        <v>17.899999999999999</v>
      </c>
      <c r="CP8" s="5">
        <v>28.6</v>
      </c>
      <c r="CQ8" s="5">
        <v>31.7</v>
      </c>
      <c r="CR8" s="5">
        <v>27.8</v>
      </c>
      <c r="CS8" s="35"/>
      <c r="CT8" s="2"/>
      <c r="CU8" s="5"/>
      <c r="CV8" s="5"/>
      <c r="CW8" s="5"/>
      <c r="CX8" s="5"/>
    </row>
    <row r="9" spans="1:102" s="4" customFormat="1" ht="15" x14ac:dyDescent="0.25">
      <c r="A9" s="2" t="s">
        <v>3</v>
      </c>
      <c r="B9" s="20">
        <f t="shared" si="0"/>
        <v>152.673124634</v>
      </c>
      <c r="C9" s="111"/>
      <c r="D9" s="111">
        <v>47.296850010999997</v>
      </c>
      <c r="E9" s="111">
        <v>53.770560297999999</v>
      </c>
      <c r="F9" s="111">
        <v>51.605714325000001</v>
      </c>
      <c r="G9" s="35"/>
      <c r="H9" s="20">
        <f t="shared" si="1"/>
        <v>175.95733923800003</v>
      </c>
      <c r="I9" s="111"/>
      <c r="J9" s="111">
        <v>60.671584258000003</v>
      </c>
      <c r="K9" s="111">
        <v>59.561660266000004</v>
      </c>
      <c r="L9" s="111">
        <v>55.724094714000003</v>
      </c>
      <c r="M9" s="35"/>
      <c r="N9" s="20">
        <f t="shared" si="2"/>
        <v>213.73093411799999</v>
      </c>
      <c r="O9" s="111">
        <v>60.057523128</v>
      </c>
      <c r="P9" s="111">
        <v>52.078990445000002</v>
      </c>
      <c r="Q9" s="111">
        <v>53.311170834999999</v>
      </c>
      <c r="R9" s="111">
        <v>48.28324971</v>
      </c>
      <c r="S9" s="35"/>
      <c r="T9" s="20">
        <f t="shared" si="3"/>
        <v>230.88922020099997</v>
      </c>
      <c r="U9" s="111">
        <v>40.372279409999997</v>
      </c>
      <c r="V9" s="111">
        <v>70.39181484800001</v>
      </c>
      <c r="W9" s="111">
        <v>78.897483836999996</v>
      </c>
      <c r="X9" s="111">
        <v>41.227642105999998</v>
      </c>
      <c r="Y9" s="35"/>
      <c r="Z9" s="20">
        <f t="shared" si="4"/>
        <v>127.55350781968532</v>
      </c>
      <c r="AA9" s="20">
        <v>35.861246511107893</v>
      </c>
      <c r="AB9" s="20">
        <v>35.984803226702915</v>
      </c>
      <c r="AC9" s="20">
        <v>32.137653975043698</v>
      </c>
      <c r="AD9" s="20">
        <v>23.569804106830833</v>
      </c>
      <c r="AE9" s="35"/>
      <c r="AF9" s="20">
        <f t="shared" si="5"/>
        <v>85.599705284338071</v>
      </c>
      <c r="AG9" s="20">
        <v>19.696134528247701</v>
      </c>
      <c r="AH9" s="20">
        <v>20.593076985291617</v>
      </c>
      <c r="AI9" s="20">
        <v>13.357202456429205</v>
      </c>
      <c r="AJ9" s="20">
        <v>31.953291314369547</v>
      </c>
      <c r="AK9" s="35"/>
      <c r="AL9" s="20">
        <f t="shared" si="6"/>
        <v>140.48214091876744</v>
      </c>
      <c r="AM9" s="20">
        <v>34.423664456064607</v>
      </c>
      <c r="AN9" s="20">
        <v>38.859354628168724</v>
      </c>
      <c r="AO9" s="20">
        <v>36.580754407866799</v>
      </c>
      <c r="AP9" s="20">
        <v>30.618367426667298</v>
      </c>
      <c r="AQ9" s="35"/>
      <c r="AR9" s="20">
        <f t="shared" si="7"/>
        <v>132.47337544787996</v>
      </c>
      <c r="AS9" s="20">
        <v>30.962451261789504</v>
      </c>
      <c r="AT9" s="20">
        <v>34.494085135288017</v>
      </c>
      <c r="AU9" s="20">
        <v>35.921878143332727</v>
      </c>
      <c r="AV9" s="20">
        <v>31.094960907469726</v>
      </c>
      <c r="AW9" s="35"/>
      <c r="AX9" s="20">
        <f t="shared" si="8"/>
        <v>111.9504797262035</v>
      </c>
      <c r="AY9" s="20">
        <f>28054538.7010975/(1000000)</f>
        <v>28.054538701097499</v>
      </c>
      <c r="AZ9" s="20">
        <f>28251290.7758174/(1000000)</f>
        <v>28.251290775817402</v>
      </c>
      <c r="BA9" s="20">
        <f>30335946.7941862/(1000000)</f>
        <v>30.335946794186199</v>
      </c>
      <c r="BB9" s="20">
        <f>25308703.4551024/(1000000)</f>
        <v>25.3087034551024</v>
      </c>
      <c r="BC9" s="35"/>
      <c r="BD9" s="5">
        <v>84.613060311236367</v>
      </c>
      <c r="BE9" s="5">
        <f t="shared" si="9"/>
        <v>19.779533148836364</v>
      </c>
      <c r="BF9" s="5">
        <v>24.672477530000005</v>
      </c>
      <c r="BG9" s="5">
        <v>25.113161851600001</v>
      </c>
      <c r="BH9" s="5">
        <v>15.0478877808</v>
      </c>
      <c r="BI9" s="35"/>
      <c r="BJ9" s="5">
        <f t="shared" si="10"/>
        <v>98.936682538961506</v>
      </c>
      <c r="BK9" s="5">
        <v>20.715035090710909</v>
      </c>
      <c r="BL9" s="5">
        <v>26.747610000000002</v>
      </c>
      <c r="BM9" s="5">
        <v>27.668559492072699</v>
      </c>
      <c r="BN9" s="5">
        <v>23.805477956177899</v>
      </c>
      <c r="BO9" s="35"/>
      <c r="BP9" s="5">
        <f t="shared" si="11"/>
        <v>161.95129806810411</v>
      </c>
      <c r="BQ9" s="5">
        <v>33.8970852072</v>
      </c>
      <c r="BR9" s="5">
        <v>39.243870454585299</v>
      </c>
      <c r="BS9" s="5">
        <v>44.257814945581721</v>
      </c>
      <c r="BT9" s="5">
        <v>44.552527460737075</v>
      </c>
      <c r="BU9" s="35"/>
      <c r="BV9" s="5">
        <f t="shared" si="12"/>
        <v>170.9</v>
      </c>
      <c r="BW9" s="5">
        <v>42.021355627449694</v>
      </c>
      <c r="BX9" s="5">
        <v>44.7</v>
      </c>
      <c r="BY9" s="5">
        <v>38.700000000000003</v>
      </c>
      <c r="BZ9" s="5">
        <v>45.478644372550306</v>
      </c>
      <c r="CA9" s="35"/>
      <c r="CB9" s="5">
        <f t="shared" si="13"/>
        <v>155</v>
      </c>
      <c r="CC9" s="5">
        <v>33.899999999999991</v>
      </c>
      <c r="CD9" s="5">
        <v>41.2</v>
      </c>
      <c r="CE9" s="5">
        <v>38</v>
      </c>
      <c r="CF9" s="5">
        <v>41.9</v>
      </c>
      <c r="CG9" s="35"/>
      <c r="CH9" s="5">
        <f t="shared" si="14"/>
        <v>184.3</v>
      </c>
      <c r="CI9" s="5">
        <v>49.92</v>
      </c>
      <c r="CJ9" s="5">
        <v>44.53</v>
      </c>
      <c r="CK9" s="5">
        <v>54.95</v>
      </c>
      <c r="CL9" s="5">
        <v>34.9</v>
      </c>
      <c r="CM9" s="35"/>
      <c r="CN9" s="5">
        <f t="shared" si="15"/>
        <v>128</v>
      </c>
      <c r="CO9" s="5">
        <v>45.7</v>
      </c>
      <c r="CP9" s="5">
        <v>30</v>
      </c>
      <c r="CQ9" s="5">
        <v>27</v>
      </c>
      <c r="CR9" s="5">
        <v>25.3</v>
      </c>
      <c r="CS9" s="35"/>
      <c r="CT9" s="2"/>
      <c r="CU9" s="5"/>
      <c r="CV9" s="5"/>
      <c r="CW9" s="5"/>
      <c r="CX9" s="5"/>
    </row>
    <row r="10" spans="1:102" s="4" customFormat="1" ht="15" x14ac:dyDescent="0.25">
      <c r="A10" s="9" t="s">
        <v>4</v>
      </c>
      <c r="B10" s="20">
        <f t="shared" si="0"/>
        <v>165.91550747999997</v>
      </c>
      <c r="C10" s="111"/>
      <c r="D10" s="111">
        <v>50.266702778999999</v>
      </c>
      <c r="E10" s="111">
        <v>54.986053585000001</v>
      </c>
      <c r="F10" s="111">
        <v>60.662751115999995</v>
      </c>
      <c r="G10" s="35"/>
      <c r="H10" s="20">
        <f t="shared" si="1"/>
        <v>150.48658106799999</v>
      </c>
      <c r="I10" s="111"/>
      <c r="J10" s="111">
        <v>48.261217148999997</v>
      </c>
      <c r="K10" s="111">
        <v>51.495695641000005</v>
      </c>
      <c r="L10" s="111">
        <v>50.729668277999998</v>
      </c>
      <c r="M10" s="35"/>
      <c r="N10" s="20">
        <f t="shared" si="2"/>
        <v>203.73822386399999</v>
      </c>
      <c r="O10" s="111">
        <v>56.075577156000001</v>
      </c>
      <c r="P10" s="111">
        <v>53.700317599000002</v>
      </c>
      <c r="Q10" s="111">
        <v>50.476361950999994</v>
      </c>
      <c r="R10" s="111">
        <v>43.485967158000001</v>
      </c>
      <c r="S10" s="35"/>
      <c r="T10" s="20">
        <f t="shared" si="3"/>
        <v>180.420367494</v>
      </c>
      <c r="U10" s="111">
        <v>38.677332024999998</v>
      </c>
      <c r="V10" s="111">
        <v>48.191235511000002</v>
      </c>
      <c r="W10" s="111">
        <v>43.728551687</v>
      </c>
      <c r="X10" s="111">
        <v>49.823248270999997</v>
      </c>
      <c r="Y10" s="35"/>
      <c r="Z10" s="20">
        <f t="shared" si="4"/>
        <v>182.4789641617721</v>
      </c>
      <c r="AA10" s="20">
        <v>49.585064429718109</v>
      </c>
      <c r="AB10" s="20">
        <v>46.625004974597616</v>
      </c>
      <c r="AC10" s="20">
        <v>42.07516698057394</v>
      </c>
      <c r="AD10" s="20">
        <v>44.193727776882405</v>
      </c>
      <c r="AE10" s="35"/>
      <c r="AF10" s="20">
        <f t="shared" si="5"/>
        <v>147.6380705033622</v>
      </c>
      <c r="AG10" s="20">
        <v>41.885928044536634</v>
      </c>
      <c r="AH10" s="20">
        <v>38.473581748240868</v>
      </c>
      <c r="AI10" s="20">
        <v>25.899143381765235</v>
      </c>
      <c r="AJ10" s="20">
        <v>41.379417328819464</v>
      </c>
      <c r="AK10" s="35"/>
      <c r="AL10" s="21">
        <f t="shared" si="6"/>
        <v>153.23988334453361</v>
      </c>
      <c r="AM10" s="20">
        <v>41.238683082351756</v>
      </c>
      <c r="AN10" s="20">
        <v>37.192980824780157</v>
      </c>
      <c r="AO10" s="20">
        <v>34.090628394054299</v>
      </c>
      <c r="AP10" s="20">
        <v>40.717591043347404</v>
      </c>
      <c r="AQ10" s="35"/>
      <c r="AR10" s="21">
        <f t="shared" si="7"/>
        <v>133.11510221432161</v>
      </c>
      <c r="AS10" s="20">
        <v>41.290837259884789</v>
      </c>
      <c r="AT10" s="20">
        <v>31.96829062852369</v>
      </c>
      <c r="AU10" s="20">
        <v>31.696028927787896</v>
      </c>
      <c r="AV10" s="20">
        <v>28.159945398125235</v>
      </c>
      <c r="AW10" s="35"/>
      <c r="AX10" s="21">
        <f t="shared" si="8"/>
        <v>108.01492818052161</v>
      </c>
      <c r="AY10" s="21">
        <f>29241691.6754814/(1000000)</f>
        <v>29.241691675481402</v>
      </c>
      <c r="AZ10" s="21">
        <f>24933531.1924801/(1000000)</f>
        <v>24.9335311924801</v>
      </c>
      <c r="BA10" s="20">
        <f>27167483.0016104/(1000000)</f>
        <v>27.1674830016104</v>
      </c>
      <c r="BB10" s="20">
        <f>26672222.3109497/(1000000)</f>
        <v>26.672222310949703</v>
      </c>
      <c r="BC10" s="35"/>
      <c r="BD10" s="17">
        <v>83.621735590000029</v>
      </c>
      <c r="BE10" s="5">
        <f t="shared" si="9"/>
        <v>18.239213850000027</v>
      </c>
      <c r="BF10" s="5">
        <v>20.7</v>
      </c>
      <c r="BG10" s="5">
        <v>20.968163410000006</v>
      </c>
      <c r="BH10" s="5">
        <v>23.714358329999996</v>
      </c>
      <c r="BI10" s="35"/>
      <c r="BJ10" s="5">
        <f t="shared" si="10"/>
        <v>83.158194219999999</v>
      </c>
      <c r="BK10" s="5">
        <v>34.289156480000003</v>
      </c>
      <c r="BL10" s="5">
        <v>19.272459999999999</v>
      </c>
      <c r="BM10" s="5">
        <v>16.760142179999999</v>
      </c>
      <c r="BN10" s="5">
        <v>12.83643556</v>
      </c>
      <c r="BO10" s="35"/>
      <c r="BP10" s="5">
        <f t="shared" si="11"/>
        <v>70.093634870000002</v>
      </c>
      <c r="BQ10" s="5">
        <v>19.364726520000001</v>
      </c>
      <c r="BR10" s="5">
        <v>16.554384930000001</v>
      </c>
      <c r="BS10" s="5">
        <v>14.791101269999999</v>
      </c>
      <c r="BT10" s="5">
        <v>19.383422149999998</v>
      </c>
      <c r="BU10" s="35"/>
      <c r="BV10" s="5">
        <f t="shared" si="12"/>
        <v>88.555898127449694</v>
      </c>
      <c r="BW10" s="5">
        <v>42.021355627449694</v>
      </c>
      <c r="BX10" s="5">
        <v>17.100000000000001</v>
      </c>
      <c r="BY10" s="5">
        <v>15.9</v>
      </c>
      <c r="BZ10" s="5">
        <v>13.534542500000002</v>
      </c>
      <c r="CA10" s="35"/>
      <c r="CB10" s="5">
        <f t="shared" si="13"/>
        <v>68.09999999999998</v>
      </c>
      <c r="CC10" s="5">
        <v>24.199999999999989</v>
      </c>
      <c r="CD10" s="5">
        <v>17</v>
      </c>
      <c r="CE10" s="5">
        <v>15.8</v>
      </c>
      <c r="CF10" s="5">
        <v>11.1</v>
      </c>
      <c r="CG10" s="35"/>
      <c r="CH10" s="5">
        <f t="shared" si="14"/>
        <v>61.5</v>
      </c>
      <c r="CI10" s="5">
        <v>19.07</v>
      </c>
      <c r="CJ10" s="5">
        <v>15.11</v>
      </c>
      <c r="CK10" s="5">
        <v>14.92</v>
      </c>
      <c r="CL10" s="5">
        <v>12.4</v>
      </c>
      <c r="CM10" s="35"/>
      <c r="CN10" s="5">
        <f t="shared" si="15"/>
        <v>54.8</v>
      </c>
      <c r="CO10" s="5">
        <v>11.799999999999999</v>
      </c>
      <c r="CP10" s="5">
        <v>13.9</v>
      </c>
      <c r="CQ10" s="5">
        <v>15.3</v>
      </c>
      <c r="CR10" s="5">
        <v>13.8</v>
      </c>
      <c r="CS10" s="35"/>
      <c r="CT10" s="2"/>
      <c r="CU10" s="5"/>
      <c r="CV10" s="5"/>
      <c r="CW10" s="5"/>
      <c r="CX10" s="5"/>
    </row>
    <row r="11" spans="1:102" s="4" customFormat="1" ht="15" x14ac:dyDescent="0.25">
      <c r="A11" s="2" t="s">
        <v>5</v>
      </c>
      <c r="B11" s="20">
        <f t="shared" si="0"/>
        <v>116.528054682</v>
      </c>
      <c r="C11" s="111"/>
      <c r="D11" s="111">
        <v>38.748989678000001</v>
      </c>
      <c r="E11" s="111">
        <v>36.923396810999996</v>
      </c>
      <c r="F11" s="111">
        <v>40.855668193000007</v>
      </c>
      <c r="G11" s="35"/>
      <c r="H11" s="20">
        <f t="shared" si="1"/>
        <v>108.656313379</v>
      </c>
      <c r="I11" s="111"/>
      <c r="J11" s="111">
        <v>35.273084159</v>
      </c>
      <c r="K11" s="111">
        <v>32.266169484999999</v>
      </c>
      <c r="L11" s="111">
        <v>41.117059734999998</v>
      </c>
      <c r="M11" s="35"/>
      <c r="N11" s="20">
        <f t="shared" si="2"/>
        <v>121.206148891</v>
      </c>
      <c r="O11" s="111">
        <v>29.31885978</v>
      </c>
      <c r="P11" s="111">
        <v>30.232545204999997</v>
      </c>
      <c r="Q11" s="111">
        <v>28.707818353</v>
      </c>
      <c r="R11" s="111">
        <v>32.946925553</v>
      </c>
      <c r="S11" s="35"/>
      <c r="T11" s="20">
        <f t="shared" si="3"/>
        <v>123.9864536</v>
      </c>
      <c r="U11" s="111">
        <v>28.015366059999998</v>
      </c>
      <c r="V11" s="111">
        <v>26.24717579</v>
      </c>
      <c r="W11" s="111">
        <v>34.679268719999996</v>
      </c>
      <c r="X11" s="111">
        <v>35.044643030000003</v>
      </c>
      <c r="Y11" s="35"/>
      <c r="Z11" s="20">
        <f t="shared" si="4"/>
        <v>120.08096023020002</v>
      </c>
      <c r="AA11" s="20">
        <v>30.116297300000014</v>
      </c>
      <c r="AB11" s="20">
        <v>29.508827720000003</v>
      </c>
      <c r="AC11" s="20">
        <v>31.418110171199999</v>
      </c>
      <c r="AD11" s="20">
        <v>29.037725039000005</v>
      </c>
      <c r="AE11" s="35"/>
      <c r="AF11" s="20">
        <f t="shared" si="5"/>
        <v>100.11872432679999</v>
      </c>
      <c r="AG11" s="20">
        <v>26.98318205</v>
      </c>
      <c r="AH11" s="20">
        <v>24.616048239999998</v>
      </c>
      <c r="AI11" s="20">
        <v>19.022293418</v>
      </c>
      <c r="AJ11" s="20">
        <v>29.497200618799997</v>
      </c>
      <c r="AK11" s="35"/>
      <c r="AL11" s="20">
        <f t="shared" si="6"/>
        <v>105.73087255862323</v>
      </c>
      <c r="AM11" s="20">
        <v>29.701128027125407</v>
      </c>
      <c r="AN11" s="20">
        <v>24.736418668967925</v>
      </c>
      <c r="AO11" s="20">
        <v>26.391770946452301</v>
      </c>
      <c r="AP11" s="20">
        <v>24.9015549160776</v>
      </c>
      <c r="AQ11" s="35"/>
      <c r="AR11" s="20">
        <f t="shared" si="7"/>
        <v>89.913061712490673</v>
      </c>
      <c r="AS11" s="20">
        <v>27.263391033397383</v>
      </c>
      <c r="AT11" s="20">
        <v>20.047221696088396</v>
      </c>
      <c r="AU11" s="20">
        <v>23.441337603935494</v>
      </c>
      <c r="AV11" s="20">
        <v>19.161111379069396</v>
      </c>
      <c r="AW11" s="35"/>
      <c r="AX11" s="20">
        <f t="shared" si="8"/>
        <v>86.857978538655999</v>
      </c>
      <c r="AY11" s="20">
        <f>22884586.3855192/(1000000)</f>
        <v>22.884586385519199</v>
      </c>
      <c r="AZ11" s="20">
        <f>18293714.4507924/(1000000)</f>
        <v>18.293714450792397</v>
      </c>
      <c r="BA11" s="20">
        <f>22125158.3506444/(1000000)</f>
        <v>22.125158350644398</v>
      </c>
      <c r="BB11" s="20">
        <f>23554519.3517/(1000000)</f>
        <v>23.554519351700002</v>
      </c>
      <c r="BC11" s="35"/>
      <c r="BD11" s="5">
        <v>82.98690762999999</v>
      </c>
      <c r="BE11" s="5">
        <f t="shared" si="9"/>
        <v>24.244537859999994</v>
      </c>
      <c r="BF11" s="5">
        <v>19.408388149999997</v>
      </c>
      <c r="BG11" s="5">
        <v>17.532747379999996</v>
      </c>
      <c r="BH11" s="5">
        <v>21.801234240000003</v>
      </c>
      <c r="BI11" s="35"/>
      <c r="BJ11" s="5">
        <f t="shared" si="10"/>
        <v>61.723120129999991</v>
      </c>
      <c r="BK11" s="5">
        <v>19.002440209999996</v>
      </c>
      <c r="BL11" s="5">
        <v>14.11947</v>
      </c>
      <c r="BM11" s="5">
        <v>16.283264849999998</v>
      </c>
      <c r="BN11" s="5">
        <v>12.31794507</v>
      </c>
      <c r="BO11" s="35"/>
      <c r="BP11" s="5">
        <f t="shared" si="11"/>
        <v>54.709363879999998</v>
      </c>
      <c r="BQ11" s="5">
        <v>15.767475689999999</v>
      </c>
      <c r="BR11" s="5">
        <v>7.47172854</v>
      </c>
      <c r="BS11" s="5">
        <v>16.599408489999998</v>
      </c>
      <c r="BT11" s="5">
        <v>14.870751159999999</v>
      </c>
      <c r="BU11" s="35"/>
      <c r="BV11" s="5">
        <f t="shared" si="12"/>
        <v>52.4</v>
      </c>
      <c r="BW11" s="5">
        <v>12.929500559999997</v>
      </c>
      <c r="BX11" s="5">
        <v>11.3</v>
      </c>
      <c r="BY11" s="5">
        <v>12.9</v>
      </c>
      <c r="BZ11" s="5">
        <v>15.27049944</v>
      </c>
      <c r="CA11" s="35"/>
      <c r="CB11" s="5">
        <f t="shared" si="13"/>
        <v>54.3</v>
      </c>
      <c r="CC11" s="5">
        <v>13.9</v>
      </c>
      <c r="CD11" s="5">
        <v>14.1</v>
      </c>
      <c r="CE11" s="5">
        <v>12.9</v>
      </c>
      <c r="CF11" s="5">
        <v>13.4</v>
      </c>
      <c r="CG11" s="35"/>
      <c r="CH11" s="5">
        <f t="shared" si="14"/>
        <v>48.399999999999991</v>
      </c>
      <c r="CI11" s="5">
        <v>11.389999999999993</v>
      </c>
      <c r="CJ11" s="5">
        <v>13.05</v>
      </c>
      <c r="CK11" s="5">
        <v>13.16</v>
      </c>
      <c r="CL11" s="5">
        <v>10.8</v>
      </c>
      <c r="CM11" s="35"/>
      <c r="CN11" s="5">
        <f t="shared" si="15"/>
        <v>44.7</v>
      </c>
      <c r="CO11" s="5">
        <v>10.900000000000007</v>
      </c>
      <c r="CP11" s="5">
        <v>11.6</v>
      </c>
      <c r="CQ11" s="5">
        <v>10.4</v>
      </c>
      <c r="CR11" s="5">
        <v>11.8</v>
      </c>
      <c r="CS11" s="35"/>
      <c r="CT11" s="2"/>
      <c r="CU11" s="5"/>
      <c r="CV11" s="5"/>
      <c r="CW11" s="5"/>
      <c r="CX11" s="5"/>
    </row>
    <row r="12" spans="1:102" s="4" customFormat="1" ht="15" x14ac:dyDescent="0.25">
      <c r="A12" s="2" t="s">
        <v>6</v>
      </c>
      <c r="B12" s="20">
        <f t="shared" si="0"/>
        <v>318.44178773299996</v>
      </c>
      <c r="C12" s="111"/>
      <c r="D12" s="111">
        <v>102.10347019699999</v>
      </c>
      <c r="E12" s="111">
        <v>103.51675618799999</v>
      </c>
      <c r="F12" s="111">
        <v>112.821561348</v>
      </c>
      <c r="G12" s="35"/>
      <c r="H12" s="20">
        <f t="shared" si="1"/>
        <v>276.08537491799996</v>
      </c>
      <c r="I12" s="111"/>
      <c r="J12" s="111">
        <v>93.890715671999999</v>
      </c>
      <c r="K12" s="111">
        <v>91.947471743999998</v>
      </c>
      <c r="L12" s="111">
        <v>90.247187502000003</v>
      </c>
      <c r="M12" s="35"/>
      <c r="N12" s="20">
        <f t="shared" si="2"/>
        <v>355.97031048400004</v>
      </c>
      <c r="O12" s="111">
        <v>94.224899782000008</v>
      </c>
      <c r="P12" s="111">
        <v>93.631462888000001</v>
      </c>
      <c r="Q12" s="111">
        <v>89.426450540999994</v>
      </c>
      <c r="R12" s="111">
        <v>78.687497273000005</v>
      </c>
      <c r="S12" s="35"/>
      <c r="T12" s="20">
        <f t="shared" si="3"/>
        <v>334.44655143299997</v>
      </c>
      <c r="U12" s="111">
        <v>89.259353872999995</v>
      </c>
      <c r="V12" s="111">
        <v>88.868793539000009</v>
      </c>
      <c r="W12" s="111">
        <v>85.093731675000001</v>
      </c>
      <c r="X12" s="111">
        <v>71.224672346000006</v>
      </c>
      <c r="Y12" s="35"/>
      <c r="Z12" s="20">
        <f t="shared" si="4"/>
        <v>286.49557437342361</v>
      </c>
      <c r="AA12" s="20">
        <v>86.484959803514329</v>
      </c>
      <c r="AB12" s="20">
        <v>73.910947044709715</v>
      </c>
      <c r="AC12" s="20">
        <v>66.861857937700591</v>
      </c>
      <c r="AD12" s="20">
        <v>59.23780958749898</v>
      </c>
      <c r="AE12" s="35"/>
      <c r="AF12" s="20">
        <f t="shared" si="5"/>
        <v>229.27876765108039</v>
      </c>
      <c r="AG12" s="20">
        <v>66.742974884389568</v>
      </c>
      <c r="AH12" s="20">
        <v>58.388077629807</v>
      </c>
      <c r="AI12" s="20">
        <v>34.494592770418912</v>
      </c>
      <c r="AJ12" s="20">
        <v>69.653122366464927</v>
      </c>
      <c r="AK12" s="35"/>
      <c r="AL12" s="20">
        <f t="shared" si="6"/>
        <v>268.30345212614861</v>
      </c>
      <c r="AM12" s="20">
        <v>80.065257686870524</v>
      </c>
      <c r="AN12" s="20">
        <v>63.251963330973254</v>
      </c>
      <c r="AO12" s="20">
        <v>62.292673685671602</v>
      </c>
      <c r="AP12" s="20">
        <v>62.693557422633198</v>
      </c>
      <c r="AQ12" s="35"/>
      <c r="AR12" s="20">
        <f t="shared" si="7"/>
        <v>249.02267736114177</v>
      </c>
      <c r="AS12" s="20">
        <v>78.510789898405434</v>
      </c>
      <c r="AT12" s="20">
        <v>56.921061296536401</v>
      </c>
      <c r="AU12" s="20">
        <v>53.030334034853055</v>
      </c>
      <c r="AV12" s="20">
        <v>60.560492131346869</v>
      </c>
      <c r="AW12" s="35"/>
      <c r="AX12" s="20">
        <f t="shared" si="8"/>
        <v>211.35314607864402</v>
      </c>
      <c r="AY12" s="20">
        <f>72575966.0084689/(1000000)</f>
        <v>72.575966008468896</v>
      </c>
      <c r="AZ12" s="20">
        <f>44933698.4706278/(1000000)</f>
        <v>44.933698470627803</v>
      </c>
      <c r="BA12" s="20">
        <f>44873320.4385711/(1000000)</f>
        <v>44.873320438571106</v>
      </c>
      <c r="BB12" s="20">
        <f>48970161.1609762/(1000000)</f>
        <v>48.970161160976204</v>
      </c>
      <c r="BC12" s="35"/>
      <c r="BD12" s="5">
        <v>165.78715005872951</v>
      </c>
      <c r="BE12" s="5">
        <f t="shared" si="9"/>
        <v>50.313977620324948</v>
      </c>
      <c r="BF12" s="5">
        <v>36.869999999999997</v>
      </c>
      <c r="BG12" s="5">
        <v>39.564572702971219</v>
      </c>
      <c r="BH12" s="5">
        <v>39.038599735433337</v>
      </c>
      <c r="BI12" s="35"/>
      <c r="BJ12" s="5">
        <f t="shared" si="10"/>
        <v>158.90356474822346</v>
      </c>
      <c r="BK12" s="5">
        <v>52.664389683958348</v>
      </c>
      <c r="BL12" s="5">
        <v>34.422499999999999</v>
      </c>
      <c r="BM12" s="5">
        <v>35.684879779840898</v>
      </c>
      <c r="BN12" s="5">
        <v>36.1317952844242</v>
      </c>
      <c r="BO12" s="35"/>
      <c r="BP12" s="5">
        <f t="shared" si="11"/>
        <v>170.99496225887364</v>
      </c>
      <c r="BQ12" s="5">
        <v>50.960677692417498</v>
      </c>
      <c r="BR12" s="5">
        <v>39.333841913289454</v>
      </c>
      <c r="BS12" s="5">
        <v>40.676321480750005</v>
      </c>
      <c r="BT12" s="5">
        <v>40.024121172416663</v>
      </c>
      <c r="BU12" s="35"/>
      <c r="BV12" s="5">
        <f t="shared" si="12"/>
        <v>129.19999999999999</v>
      </c>
      <c r="BW12" s="5">
        <v>28.498609137374999</v>
      </c>
      <c r="BX12" s="5">
        <v>32.799999999999997</v>
      </c>
      <c r="BY12" s="5">
        <v>27.8</v>
      </c>
      <c r="BZ12" s="5">
        <v>40.101390862624996</v>
      </c>
      <c r="CA12" s="35"/>
      <c r="CB12" s="5">
        <f t="shared" si="13"/>
        <v>153.4</v>
      </c>
      <c r="CC12" s="5">
        <v>47.2</v>
      </c>
      <c r="CD12" s="5">
        <v>30</v>
      </c>
      <c r="CE12" s="5">
        <v>26.8</v>
      </c>
      <c r="CF12" s="5">
        <v>49.4</v>
      </c>
      <c r="CG12" s="35"/>
      <c r="CH12" s="5">
        <f t="shared" si="14"/>
        <v>153</v>
      </c>
      <c r="CI12" s="5">
        <v>46.37</v>
      </c>
      <c r="CJ12" s="5">
        <v>22.6</v>
      </c>
      <c r="CK12" s="5">
        <v>38.130000000000003</v>
      </c>
      <c r="CL12" s="5">
        <v>45.9</v>
      </c>
      <c r="CM12" s="35"/>
      <c r="CN12" s="5">
        <f t="shared" si="15"/>
        <v>152.1</v>
      </c>
      <c r="CO12" s="5">
        <v>34.29999999999999</v>
      </c>
      <c r="CP12" s="5">
        <v>35.1</v>
      </c>
      <c r="CQ12" s="5">
        <v>38.200000000000003</v>
      </c>
      <c r="CR12" s="5">
        <v>44.5</v>
      </c>
      <c r="CS12" s="35"/>
      <c r="CT12" s="2"/>
      <c r="CU12" s="5"/>
      <c r="CV12" s="5"/>
      <c r="CW12" s="5"/>
      <c r="CX12" s="5"/>
    </row>
    <row r="13" spans="1:102" s="4" customFormat="1" ht="15" x14ac:dyDescent="0.25">
      <c r="A13" s="2" t="s">
        <v>14</v>
      </c>
      <c r="B13" s="20">
        <f t="shared" si="0"/>
        <v>25.732826328999998</v>
      </c>
      <c r="C13" s="111"/>
      <c r="D13" s="111">
        <v>6.3115875800000003</v>
      </c>
      <c r="E13" s="111">
        <v>9.3071859289999992</v>
      </c>
      <c r="F13" s="111">
        <v>10.114052819999999</v>
      </c>
      <c r="G13" s="36"/>
      <c r="H13" s="20">
        <f t="shared" si="1"/>
        <v>45.581066008000001</v>
      </c>
      <c r="I13" s="111"/>
      <c r="J13" s="111">
        <v>9.9024387839999992</v>
      </c>
      <c r="K13" s="111">
        <v>9.6350956760000006</v>
      </c>
      <c r="L13" s="111">
        <v>26.043531548000001</v>
      </c>
      <c r="M13" s="36"/>
      <c r="N13" s="20">
        <f t="shared" si="2"/>
        <v>50.482190936000002</v>
      </c>
      <c r="O13" s="111">
        <v>24.49070064</v>
      </c>
      <c r="P13" s="111">
        <v>7.4710790199999995</v>
      </c>
      <c r="Q13" s="111">
        <v>9.5773638299999995</v>
      </c>
      <c r="R13" s="111">
        <v>8.9430474460000013</v>
      </c>
      <c r="S13" s="36"/>
      <c r="T13" s="20">
        <f t="shared" si="3"/>
        <v>19.812603360000001</v>
      </c>
      <c r="U13" s="111">
        <v>7.2662692199999999</v>
      </c>
      <c r="V13" s="111">
        <v>4.6831697000000005</v>
      </c>
      <c r="W13" s="111">
        <v>3.9939800399999998</v>
      </c>
      <c r="X13" s="111">
        <v>3.8691844</v>
      </c>
      <c r="Y13" s="36"/>
      <c r="Z13" s="20">
        <f t="shared" si="4"/>
        <v>14.83510351971999</v>
      </c>
      <c r="AA13" s="20">
        <v>4.604525450199997</v>
      </c>
      <c r="AB13" s="20">
        <v>4.077972669999995</v>
      </c>
      <c r="AC13" s="20">
        <v>3.0082446695200011</v>
      </c>
      <c r="AD13" s="20">
        <v>3.1443607299999976</v>
      </c>
      <c r="AE13" s="36"/>
      <c r="AF13" s="20">
        <f t="shared" si="5"/>
        <v>11.631877240800002</v>
      </c>
      <c r="AG13" s="20">
        <v>3.5402202088000014</v>
      </c>
      <c r="AH13" s="20">
        <v>3.8771495599999994</v>
      </c>
      <c r="AI13" s="20">
        <v>0.64069487919999979</v>
      </c>
      <c r="AJ13" s="20">
        <v>3.5738125928000009</v>
      </c>
      <c r="AK13" s="36"/>
      <c r="AL13" s="20">
        <f t="shared" si="6"/>
        <v>14.100192336487083</v>
      </c>
      <c r="AM13" s="20">
        <v>3.5283341339103003</v>
      </c>
      <c r="AN13" s="20">
        <v>3.2566253284319218</v>
      </c>
      <c r="AO13" s="20">
        <v>2.7597525651667203</v>
      </c>
      <c r="AP13" s="20">
        <v>4.5554803089781402</v>
      </c>
      <c r="AQ13" s="36"/>
      <c r="AR13" s="20">
        <f t="shared" si="7"/>
        <v>17.194899860873004</v>
      </c>
      <c r="AS13" s="20">
        <v>3.1086305290903002</v>
      </c>
      <c r="AT13" s="20">
        <v>3.3438488253903</v>
      </c>
      <c r="AU13" s="20">
        <v>6.1994303490719052</v>
      </c>
      <c r="AV13" s="20">
        <v>4.5429901573204994</v>
      </c>
      <c r="AW13" s="36"/>
      <c r="AX13" s="20">
        <f t="shared" si="8"/>
        <v>31.010665236293192</v>
      </c>
      <c r="AY13" s="20">
        <f>10269316.8800839/(1000000)</f>
        <v>10.269316880083901</v>
      </c>
      <c r="AZ13" s="20">
        <f>7003076.41755727/(1000000)</f>
        <v>7.0030764175572706</v>
      </c>
      <c r="BA13" s="20">
        <f>5664498.8636669/(1000000)</f>
        <v>5.6644988636669007</v>
      </c>
      <c r="BB13" s="20">
        <f>8073773.07498512/(1000000)</f>
        <v>8.0737730749851213</v>
      </c>
      <c r="BC13" s="36"/>
      <c r="BD13" s="5">
        <v>65.925362304090896</v>
      </c>
      <c r="BE13" s="5">
        <f t="shared" si="9"/>
        <v>18.750706544999993</v>
      </c>
      <c r="BF13" s="5">
        <f>12.77</f>
        <v>12.77</v>
      </c>
      <c r="BG13" s="5">
        <v>13.592169290909093</v>
      </c>
      <c r="BH13" s="5">
        <v>20.81248646818181</v>
      </c>
      <c r="BI13" s="36"/>
      <c r="BJ13" s="5">
        <f t="shared" si="10"/>
        <v>57.187020350000004</v>
      </c>
      <c r="BK13" s="5">
        <v>15.758275920000001</v>
      </c>
      <c r="BL13" s="5">
        <v>12.716620000000001</v>
      </c>
      <c r="BM13" s="5">
        <v>13.3742181772727</v>
      </c>
      <c r="BN13" s="5">
        <v>15.337906252727301</v>
      </c>
      <c r="BO13" s="36"/>
      <c r="BP13" s="5">
        <f t="shared" si="11"/>
        <v>51.80351254</v>
      </c>
      <c r="BQ13" s="5">
        <v>14.3195</v>
      </c>
      <c r="BR13" s="5">
        <v>13.20871049</v>
      </c>
      <c r="BS13" s="5">
        <v>12.802943159999998</v>
      </c>
      <c r="BT13" s="5">
        <v>11.472358889999999</v>
      </c>
      <c r="BU13" s="36"/>
      <c r="BV13" s="5">
        <f t="shared" si="12"/>
        <v>52.7</v>
      </c>
      <c r="BW13" s="5">
        <v>15.899152830000006</v>
      </c>
      <c r="BX13" s="5">
        <v>12</v>
      </c>
      <c r="BY13" s="5">
        <v>11.9</v>
      </c>
      <c r="BZ13" s="5">
        <v>12.90084717</v>
      </c>
      <c r="CA13" s="36"/>
      <c r="CB13" s="5">
        <f t="shared" si="13"/>
        <v>52.5</v>
      </c>
      <c r="CC13" s="5">
        <v>20.86</v>
      </c>
      <c r="CD13" s="5">
        <v>12.94</v>
      </c>
      <c r="CE13" s="5">
        <v>12.1</v>
      </c>
      <c r="CF13" s="5">
        <v>6.6</v>
      </c>
      <c r="CG13" s="36"/>
      <c r="CH13" s="5">
        <f t="shared" si="14"/>
        <v>66.400000000000006</v>
      </c>
      <c r="CI13" s="5">
        <v>18.89</v>
      </c>
      <c r="CJ13" s="5">
        <v>16.39</v>
      </c>
      <c r="CK13" s="5">
        <v>16.920000000000002</v>
      </c>
      <c r="CL13" s="5">
        <v>14.2</v>
      </c>
      <c r="CM13" s="36"/>
      <c r="CN13" s="5">
        <f t="shared" si="15"/>
        <v>68.7</v>
      </c>
      <c r="CO13" s="5">
        <v>19.300000000000004</v>
      </c>
      <c r="CP13" s="5">
        <v>17.600000000000001</v>
      </c>
      <c r="CQ13" s="5">
        <v>16.3</v>
      </c>
      <c r="CR13" s="5">
        <v>15.5</v>
      </c>
      <c r="CS13" s="36"/>
      <c r="CT13" s="2"/>
      <c r="CU13" s="5"/>
      <c r="CV13" s="5"/>
      <c r="CW13" s="5"/>
      <c r="CX13" s="5"/>
    </row>
    <row r="14" spans="1:102" s="4" customFormat="1" ht="15" x14ac:dyDescent="0.25">
      <c r="A14" s="4" t="s">
        <v>7</v>
      </c>
      <c r="B14" s="24">
        <f>SUM(B7:B13)</f>
        <v>1330.193209175</v>
      </c>
      <c r="C14" s="23">
        <f>SUM(C7:C13)</f>
        <v>0</v>
      </c>
      <c r="D14" s="23">
        <f>SUM(D7:D13)</f>
        <v>418.05119393299992</v>
      </c>
      <c r="E14" s="23">
        <f>SUM(E7:E13)</f>
        <v>434.47612826899996</v>
      </c>
      <c r="F14" s="23">
        <f>SUM(F7:F13)</f>
        <v>477.66588697299994</v>
      </c>
      <c r="G14" s="37"/>
      <c r="H14" s="24">
        <f>SUM(H7:H13)</f>
        <v>1242.6432276670002</v>
      </c>
      <c r="I14" s="23">
        <f>SUM(I7:I13)</f>
        <v>0</v>
      </c>
      <c r="J14" s="23">
        <f>SUM(J7:J13)</f>
        <v>415.33507462900002</v>
      </c>
      <c r="K14" s="23">
        <f>SUM(K7:K13)</f>
        <v>404.86062287199996</v>
      </c>
      <c r="L14" s="23">
        <f>SUM(L7:L13)</f>
        <v>422.44753016600004</v>
      </c>
      <c r="M14" s="37"/>
      <c r="N14" s="24">
        <f>SUM(N7:N13)</f>
        <v>1526.6382271530003</v>
      </c>
      <c r="O14" s="23">
        <f>SUM(O7:O13)</f>
        <v>414.66042023400007</v>
      </c>
      <c r="P14" s="23">
        <f>SUM(P7:P13)</f>
        <v>380.69706535699999</v>
      </c>
      <c r="Q14" s="23">
        <f>SUM(Q7:Q13)</f>
        <v>376.96683956300001</v>
      </c>
      <c r="R14" s="23">
        <f>SUM(R7:R13)</f>
        <v>354.313901999</v>
      </c>
      <c r="S14" s="37"/>
      <c r="T14" s="24">
        <f>SUM(T7:T13)</f>
        <v>1497.0520112489999</v>
      </c>
      <c r="U14" s="23">
        <f>SUM(U7:U13)</f>
        <v>349.27102054100004</v>
      </c>
      <c r="V14" s="23">
        <f>SUM(V7:V13)</f>
        <v>391.22787332500008</v>
      </c>
      <c r="W14" s="23">
        <f>SUM(W7:W13)</f>
        <v>407.85969442199996</v>
      </c>
      <c r="X14" s="23">
        <f>SUM(X7:X13)</f>
        <v>348.69342296100001</v>
      </c>
      <c r="Y14" s="37"/>
      <c r="Z14" s="24">
        <f>SUM(Z7:Z13)</f>
        <v>1276.4529817779287</v>
      </c>
      <c r="AA14" s="23">
        <f>SUM(AA7:AA13)</f>
        <v>354.67799515525195</v>
      </c>
      <c r="AB14" s="23">
        <f>SUM(AB7:AB13)</f>
        <v>325.46888984796436</v>
      </c>
      <c r="AC14" s="23">
        <f>SUM(AC7:AC13)</f>
        <v>309.47040158519434</v>
      </c>
      <c r="AD14" s="23">
        <f>SUM(AD7:AD13)</f>
        <v>286.83569518951793</v>
      </c>
      <c r="AE14" s="37"/>
      <c r="AF14" s="24">
        <f>SUM(AF7:AF13)</f>
        <v>1114.9786994418896</v>
      </c>
      <c r="AG14" s="23">
        <f>SUM(AG7:AG13)</f>
        <v>310.52170396578936</v>
      </c>
      <c r="AH14" s="23">
        <f>SUM(AH7:AH13)</f>
        <v>296.95319987056689</v>
      </c>
      <c r="AI14" s="23">
        <f>SUM(AI7:AI13)</f>
        <v>211.10116074634746</v>
      </c>
      <c r="AJ14" s="23">
        <f>SUM(AJ7:AJ13)</f>
        <v>296.40263485918609</v>
      </c>
      <c r="AK14" s="37"/>
      <c r="AL14" s="24">
        <f>SUM(AL7:AL13)</f>
        <v>1189.705125612275</v>
      </c>
      <c r="AM14" s="23">
        <f>SUM(AM7:AM13)</f>
        <v>311.14979576853921</v>
      </c>
      <c r="AN14" s="23">
        <f>SUM(AN7:AN13)</f>
        <v>330.64577800763806</v>
      </c>
      <c r="AO14" s="23">
        <f>SUM(AO7:AO13)</f>
        <v>275.52021218597145</v>
      </c>
      <c r="AP14" s="23">
        <f>SUM(AP7:AP13)</f>
        <v>272.38933965012632</v>
      </c>
      <c r="AQ14" s="37"/>
      <c r="AR14" s="24">
        <f>SUM(AR7:AR13)</f>
        <v>1042.8102058238417</v>
      </c>
      <c r="AS14" s="23">
        <f>SUM(AS7:AS13)</f>
        <v>294.18289507199228</v>
      </c>
      <c r="AT14" s="23">
        <f>SUM(AT7:AT13)</f>
        <v>255.14128360876308</v>
      </c>
      <c r="AU14" s="23">
        <f>SUM(AU7:AU13)</f>
        <v>249.65703673708697</v>
      </c>
      <c r="AV14" s="23">
        <f>SUM(AV7:AV13)</f>
        <v>243.82899040599935</v>
      </c>
      <c r="AW14" s="37"/>
      <c r="AX14" s="26">
        <f>SUM(AX7:AX13)</f>
        <v>914.76206302725427</v>
      </c>
      <c r="AY14" s="25">
        <f>SUM(AY7:AY13)</f>
        <v>264.5870323170804</v>
      </c>
      <c r="AZ14" s="25">
        <f>SUM(AZ7:AZ13)</f>
        <v>209.82143631270179</v>
      </c>
      <c r="BA14" s="25">
        <f>SUM(BA7:BA13)</f>
        <v>220.40687985508089</v>
      </c>
      <c r="BB14" s="25">
        <f>SUM(BB7:BB13)</f>
        <v>219.94671454239125</v>
      </c>
      <c r="BC14" s="37"/>
      <c r="BD14" s="10">
        <f>SUM(BD7:BD13)</f>
        <v>854.21510135701226</v>
      </c>
      <c r="BE14" s="10">
        <f>SUM(BE7:BE13)</f>
        <v>220.84290947601536</v>
      </c>
      <c r="BF14" s="10">
        <f>SUM(BF7:BF13)</f>
        <v>214.78805257636654</v>
      </c>
      <c r="BG14" s="10">
        <f>SUM(BG7:BG13)</f>
        <v>206.46078949384369</v>
      </c>
      <c r="BH14" s="10">
        <f>SUM(BH7:BH13)</f>
        <v>212.12334981078666</v>
      </c>
      <c r="BI14" s="37"/>
      <c r="BJ14" s="10">
        <f t="shared" si="10"/>
        <v>764.16399319445975</v>
      </c>
      <c r="BK14" s="10">
        <f>SUM(BK7:BK13)</f>
        <v>225.63023749514676</v>
      </c>
      <c r="BL14" s="10">
        <f>SUM(BL7:BL13)</f>
        <v>178.77578000000003</v>
      </c>
      <c r="BM14" s="10">
        <f>SUM(BM7:BM13)</f>
        <v>182.85742225041568</v>
      </c>
      <c r="BN14" s="10">
        <f>SUM(BN7:BN13)</f>
        <v>176.90055344889731</v>
      </c>
      <c r="BO14" s="37"/>
      <c r="BP14" s="10">
        <f t="shared" si="11"/>
        <v>805.21085412095556</v>
      </c>
      <c r="BQ14" s="10">
        <f>SUM(BQ7:BQ13)</f>
        <v>212.5786682856322</v>
      </c>
      <c r="BR14" s="10">
        <f>SUM(BR7:BR13)</f>
        <v>188.76940532114028</v>
      </c>
      <c r="BS14" s="10">
        <f>SUM(BS7:BS13)</f>
        <v>200.83326167688642</v>
      </c>
      <c r="BT14" s="10">
        <f>SUM(BT7:BT13)</f>
        <v>203.02951883729665</v>
      </c>
      <c r="BU14" s="37"/>
      <c r="BV14" s="10">
        <f t="shared" si="12"/>
        <v>788.35589812744968</v>
      </c>
      <c r="BW14" s="10">
        <f>SUM(BW7:BW13)</f>
        <v>228.50038339950964</v>
      </c>
      <c r="BX14" s="10">
        <f>SUM(BX7:BX13)</f>
        <v>188.3</v>
      </c>
      <c r="BY14" s="10">
        <f>SUM(BY7:BY13)</f>
        <v>178.20000000000002</v>
      </c>
      <c r="BZ14" s="10">
        <f>SUM(BZ7:BZ13)</f>
        <v>193.35551472794</v>
      </c>
      <c r="CA14" s="37"/>
      <c r="CB14" s="10">
        <f t="shared" si="13"/>
        <v>758.2</v>
      </c>
      <c r="CC14" s="10">
        <f>SUM(CC7:CC13)</f>
        <v>202.53000000000003</v>
      </c>
      <c r="CD14" s="10">
        <f>SUM(CD7:CD13)</f>
        <v>188.60999999999999</v>
      </c>
      <c r="CE14" s="10">
        <f>SUM(CE7:CE13)</f>
        <v>182.46</v>
      </c>
      <c r="CF14" s="10">
        <f>SUM(CF7:CF13)</f>
        <v>184.6</v>
      </c>
      <c r="CG14" s="37"/>
      <c r="CH14" s="10">
        <f t="shared" si="14"/>
        <v>759.19999999999993</v>
      </c>
      <c r="CI14" s="10">
        <f>SUM(CI7:CI13)</f>
        <v>211.71999999999997</v>
      </c>
      <c r="CJ14" s="10">
        <f>SUM(CJ7:CJ13)</f>
        <v>181.91000000000003</v>
      </c>
      <c r="CK14" s="10">
        <f>SUM(CK7:CK13)</f>
        <v>195.26999999999998</v>
      </c>
      <c r="CL14" s="10">
        <f>SUM(CL7:CL13)</f>
        <v>170.29999999999998</v>
      </c>
      <c r="CM14" s="37"/>
      <c r="CN14" s="10">
        <f t="shared" si="15"/>
        <v>690.09999999999991</v>
      </c>
      <c r="CO14" s="10">
        <f>SUM(CO7:CO13)</f>
        <v>175.00000000000003</v>
      </c>
      <c r="CP14" s="10">
        <f>SUM(CP7:CP13)</f>
        <v>169.5</v>
      </c>
      <c r="CQ14" s="10">
        <f>SUM(CQ7:CQ13)</f>
        <v>173.3</v>
      </c>
      <c r="CR14" s="10">
        <f>SUM(CR7:CR13)</f>
        <v>172.3</v>
      </c>
      <c r="CS14" s="37"/>
      <c r="CT14" s="2"/>
      <c r="CU14" s="10"/>
      <c r="CV14" s="10"/>
      <c r="CW14" s="10"/>
      <c r="CX14" s="10"/>
    </row>
    <row r="15" spans="1:102" s="2" customFormat="1" ht="15" x14ac:dyDescent="0.25">
      <c r="G15" s="28"/>
      <c r="M15" s="28"/>
      <c r="S15" s="28"/>
      <c r="Y15" s="28"/>
      <c r="AE15" s="28"/>
      <c r="AK15" s="28"/>
      <c r="AQ15" s="28"/>
      <c r="AW15" s="28"/>
      <c r="BC15" s="28"/>
      <c r="BI15" s="28"/>
      <c r="BO15" s="28"/>
      <c r="BU15" s="28"/>
      <c r="CA15" s="28"/>
      <c r="CG15" s="28"/>
      <c r="CM15" s="28"/>
      <c r="CS15" s="28"/>
    </row>
    <row r="16" spans="1:102" s="2" customFormat="1" ht="15" x14ac:dyDescent="0.25">
      <c r="A16" s="6"/>
      <c r="B16" s="41"/>
      <c r="C16" s="41"/>
      <c r="D16" s="41"/>
      <c r="E16" s="41"/>
      <c r="F16" s="41"/>
      <c r="G16" s="29"/>
      <c r="H16" s="41"/>
      <c r="I16" s="41"/>
      <c r="J16" s="41"/>
      <c r="K16" s="41"/>
      <c r="L16" s="41"/>
      <c r="M16" s="29"/>
      <c r="N16" s="41"/>
      <c r="O16" s="41"/>
      <c r="P16" s="41"/>
      <c r="Q16" s="41"/>
      <c r="R16" s="41"/>
      <c r="S16" s="29"/>
      <c r="T16" s="41"/>
      <c r="U16" s="41"/>
      <c r="V16" s="41"/>
      <c r="W16" s="41"/>
      <c r="X16" s="41"/>
      <c r="Y16" s="29"/>
      <c r="Z16" s="41"/>
      <c r="AA16" s="41"/>
      <c r="AB16" s="41"/>
      <c r="AC16" s="41"/>
      <c r="AD16" s="41"/>
      <c r="AK16" s="41"/>
      <c r="AL16" s="41"/>
      <c r="AM16" s="41"/>
      <c r="AN16" s="20"/>
      <c r="AO16" s="20"/>
      <c r="AP16" s="20"/>
      <c r="AQ16" s="41"/>
      <c r="AR16" s="41"/>
      <c r="AS16" s="41"/>
      <c r="AT16" s="41"/>
      <c r="AU16" s="41"/>
      <c r="AV16" s="41"/>
      <c r="AW16" s="29"/>
      <c r="BC16" s="29"/>
      <c r="BD16" s="6"/>
      <c r="BE16" s="6"/>
      <c r="BF16" s="16"/>
      <c r="BG16" s="6"/>
      <c r="BH16" s="6"/>
      <c r="BI16" s="29"/>
      <c r="BJ16" s="6"/>
      <c r="BK16" s="6"/>
      <c r="BL16" s="16"/>
      <c r="BM16" s="6"/>
      <c r="BN16" s="6"/>
      <c r="BO16" s="29"/>
      <c r="BP16" s="6"/>
      <c r="BQ16" s="6"/>
      <c r="BR16" s="16"/>
      <c r="BS16" s="6"/>
      <c r="BT16" s="6"/>
      <c r="BU16" s="29"/>
      <c r="BV16" s="6"/>
      <c r="BW16" s="6"/>
      <c r="BX16" s="16"/>
      <c r="BY16" s="6"/>
      <c r="BZ16" s="6"/>
      <c r="CA16" s="29"/>
      <c r="CB16" s="6"/>
      <c r="CC16" s="6"/>
      <c r="CD16" s="16"/>
      <c r="CE16" s="6"/>
      <c r="CF16" s="6"/>
      <c r="CG16" s="29"/>
      <c r="CH16" s="6"/>
      <c r="CI16" s="6"/>
      <c r="CJ16" s="16"/>
      <c r="CK16" s="6"/>
      <c r="CL16" s="6"/>
      <c r="CM16" s="29"/>
      <c r="CN16" s="6"/>
      <c r="CO16" s="6"/>
      <c r="CP16" s="16"/>
      <c r="CQ16" s="6"/>
      <c r="CR16" s="6"/>
      <c r="CS16" s="29"/>
      <c r="CT16" s="6"/>
      <c r="CU16" s="6"/>
      <c r="CV16" s="16"/>
      <c r="CW16" s="6"/>
      <c r="CX16" s="6"/>
    </row>
    <row r="17" spans="1:102" s="2" customFormat="1" ht="15" x14ac:dyDescent="0.25">
      <c r="A17" s="4"/>
      <c r="B17" s="41"/>
      <c r="C17" s="41"/>
      <c r="D17" s="41"/>
      <c r="E17" s="41"/>
      <c r="F17" s="41"/>
      <c r="G17" s="29"/>
      <c r="H17" s="41"/>
      <c r="I17" s="41"/>
      <c r="J17" s="41"/>
      <c r="K17" s="41"/>
      <c r="L17" s="41"/>
      <c r="M17" s="29"/>
      <c r="N17" s="41"/>
      <c r="O17" s="41"/>
      <c r="P17" s="41"/>
      <c r="Q17" s="41"/>
      <c r="R17" s="41"/>
      <c r="S17" s="29"/>
      <c r="T17" s="41"/>
      <c r="U17" s="41"/>
      <c r="V17" s="41"/>
      <c r="W17" s="41"/>
      <c r="X17" s="41"/>
      <c r="Y17" s="29"/>
      <c r="Z17" s="41"/>
      <c r="AA17" s="41"/>
      <c r="AB17" s="41"/>
      <c r="AC17" s="41"/>
      <c r="AD17" s="41"/>
      <c r="AK17" s="28"/>
      <c r="AN17" s="20"/>
      <c r="AO17" s="20"/>
      <c r="AP17" s="20"/>
      <c r="AQ17" s="28"/>
      <c r="AW17" s="30"/>
      <c r="BC17" s="28"/>
      <c r="BD17" s="4"/>
      <c r="BE17" s="19"/>
      <c r="BF17" s="4"/>
      <c r="BG17" s="4"/>
      <c r="BH17" s="13"/>
      <c r="BI17" s="28"/>
      <c r="BJ17" s="4"/>
      <c r="BK17" s="19"/>
      <c r="BL17" s="4"/>
      <c r="BM17" s="4"/>
      <c r="BN17" s="13"/>
      <c r="BO17" s="28"/>
      <c r="BP17" s="4"/>
      <c r="BQ17" s="19"/>
      <c r="BR17" s="4"/>
      <c r="BS17" s="4"/>
      <c r="BT17" s="13"/>
      <c r="BU17" s="28"/>
      <c r="BV17" s="4"/>
      <c r="BW17" s="19"/>
      <c r="BX17" s="4"/>
      <c r="BY17" s="4"/>
      <c r="BZ17" s="13"/>
      <c r="CA17" s="28"/>
      <c r="CB17" s="4"/>
      <c r="CC17" s="19"/>
      <c r="CD17" s="4"/>
      <c r="CE17" s="4"/>
      <c r="CF17" s="13"/>
      <c r="CG17" s="28"/>
      <c r="CH17" s="4"/>
      <c r="CI17" s="19"/>
      <c r="CJ17" s="4"/>
      <c r="CK17" s="4"/>
      <c r="CL17" s="13"/>
      <c r="CM17" s="28"/>
      <c r="CN17" s="4"/>
      <c r="CO17" s="19"/>
      <c r="CP17" s="4"/>
      <c r="CQ17" s="4"/>
      <c r="CR17" s="13"/>
      <c r="CS17" s="28"/>
      <c r="CT17" s="4"/>
      <c r="CU17" s="19"/>
      <c r="CV17" s="4"/>
      <c r="CW17" s="4"/>
      <c r="CX17" s="13"/>
    </row>
    <row r="18" spans="1:102" s="2" customFormat="1" ht="15.75" x14ac:dyDescent="0.25">
      <c r="A18" s="14"/>
      <c r="B18" s="41"/>
      <c r="C18" s="41"/>
      <c r="D18" s="41"/>
      <c r="E18" s="41"/>
      <c r="F18" s="41"/>
      <c r="G18" s="29"/>
      <c r="H18" s="41"/>
      <c r="I18" s="41"/>
      <c r="J18" s="41"/>
      <c r="K18" s="41"/>
      <c r="L18" s="41"/>
      <c r="M18" s="29"/>
      <c r="N18" s="41"/>
      <c r="O18" s="41"/>
      <c r="P18" s="41"/>
      <c r="Q18" s="41"/>
      <c r="R18" s="41"/>
      <c r="S18" s="29"/>
      <c r="T18" s="41"/>
      <c r="U18" s="41"/>
      <c r="V18" s="41"/>
      <c r="W18" s="41"/>
      <c r="X18" s="41"/>
      <c r="Y18" s="29"/>
      <c r="Z18" s="41"/>
      <c r="AA18" s="41"/>
      <c r="AB18" s="41"/>
      <c r="AC18" s="41"/>
      <c r="AD18" s="41"/>
      <c r="AK18" s="28"/>
      <c r="AN18" s="20"/>
      <c r="AO18" s="20"/>
      <c r="AP18" s="20"/>
      <c r="AQ18" s="28"/>
      <c r="AX18" s="15"/>
      <c r="AY18" s="15"/>
      <c r="AZ18" s="15"/>
      <c r="BA18" s="15"/>
      <c r="BB18" s="15"/>
      <c r="BC18" s="29"/>
      <c r="BD18" s="15"/>
      <c r="BE18" s="6"/>
      <c r="BF18" s="4"/>
      <c r="BG18" s="4"/>
      <c r="BH18" s="4"/>
      <c r="BI18" s="29"/>
      <c r="BJ18" s="15"/>
      <c r="BK18" s="6"/>
      <c r="BL18" s="4"/>
      <c r="BM18" s="4"/>
      <c r="BN18" s="4"/>
      <c r="BO18" s="29"/>
      <c r="BP18" s="15"/>
      <c r="BQ18" s="6"/>
      <c r="BR18" s="4"/>
      <c r="BS18" s="4"/>
      <c r="BT18" s="4"/>
      <c r="BU18" s="29"/>
      <c r="BV18" s="15"/>
      <c r="BW18" s="6"/>
      <c r="BX18" s="4"/>
      <c r="BY18" s="4"/>
      <c r="BZ18" s="4"/>
      <c r="CA18" s="29"/>
      <c r="CB18" s="15"/>
      <c r="CC18" s="6"/>
      <c r="CD18" s="4"/>
      <c r="CE18" s="4"/>
      <c r="CF18" s="4"/>
      <c r="CG18" s="29"/>
      <c r="CH18" s="15"/>
      <c r="CI18" s="6"/>
      <c r="CJ18" s="4"/>
      <c r="CK18" s="4"/>
      <c r="CL18" s="4"/>
      <c r="CM18" s="29"/>
      <c r="CN18" s="15"/>
      <c r="CO18" s="6"/>
      <c r="CP18" s="4"/>
      <c r="CQ18" s="4"/>
      <c r="CR18" s="4"/>
      <c r="CS18" s="29"/>
      <c r="CT18" s="15"/>
      <c r="CU18" s="6"/>
      <c r="CV18" s="4"/>
      <c r="CW18" s="4"/>
      <c r="CX18" s="4"/>
    </row>
    <row r="19" spans="1:102" s="2" customFormat="1" ht="15.75" x14ac:dyDescent="0.25">
      <c r="A19" s="14"/>
      <c r="B19" s="41"/>
      <c r="C19" s="41"/>
      <c r="D19" s="41"/>
      <c r="E19" s="41"/>
      <c r="F19" s="41"/>
      <c r="G19" s="29"/>
      <c r="H19" s="41"/>
      <c r="I19" s="41"/>
      <c r="J19" s="41"/>
      <c r="K19" s="41"/>
      <c r="L19" s="41"/>
      <c r="M19" s="29"/>
      <c r="N19" s="41"/>
      <c r="O19" s="41"/>
      <c r="P19" s="41"/>
      <c r="Q19" s="41"/>
      <c r="R19" s="41"/>
      <c r="S19" s="29"/>
      <c r="T19" s="41"/>
      <c r="U19" s="41"/>
      <c r="V19" s="41"/>
      <c r="W19" s="41"/>
      <c r="X19" s="41"/>
      <c r="Y19" s="29"/>
      <c r="Z19" s="41"/>
      <c r="AA19" s="41"/>
      <c r="AB19" s="41"/>
      <c r="AC19" s="41"/>
      <c r="AD19" s="41"/>
      <c r="AK19" s="28"/>
      <c r="AN19" s="20"/>
      <c r="AO19" s="20"/>
      <c r="AP19" s="20"/>
      <c r="AQ19" s="28"/>
      <c r="AX19" s="15"/>
      <c r="AY19" s="15"/>
      <c r="AZ19" s="15"/>
      <c r="BA19" s="15"/>
      <c r="BB19" s="15"/>
      <c r="BC19" s="30"/>
      <c r="BD19" s="15"/>
      <c r="BE19" s="6"/>
      <c r="BI19" s="30"/>
      <c r="BJ19" s="15"/>
      <c r="BK19" s="6"/>
      <c r="BO19" s="30"/>
      <c r="BP19" s="15"/>
      <c r="BQ19" s="6"/>
      <c r="BU19" s="30"/>
      <c r="BV19" s="15"/>
      <c r="BW19" s="6"/>
      <c r="CA19" s="30"/>
      <c r="CB19" s="15"/>
      <c r="CC19" s="6"/>
      <c r="CG19" s="30"/>
      <c r="CH19" s="15"/>
      <c r="CI19" s="6"/>
      <c r="CM19" s="30"/>
      <c r="CN19" s="15"/>
      <c r="CO19" s="6"/>
      <c r="CS19" s="30"/>
      <c r="CT19" s="15"/>
      <c r="CU19" s="6"/>
    </row>
    <row r="20" spans="1:102" s="2" customFormat="1" ht="15.75" x14ac:dyDescent="0.25">
      <c r="A20" s="14"/>
      <c r="B20" s="41"/>
      <c r="C20" s="41"/>
      <c r="D20" s="41"/>
      <c r="E20" s="41"/>
      <c r="F20" s="41"/>
      <c r="G20" s="29"/>
      <c r="H20" s="41"/>
      <c r="I20" s="41"/>
      <c r="J20" s="41"/>
      <c r="K20" s="41"/>
      <c r="L20" s="41"/>
      <c r="M20" s="29"/>
      <c r="N20" s="41"/>
      <c r="O20" s="41"/>
      <c r="P20" s="41"/>
      <c r="Q20" s="41"/>
      <c r="R20" s="41"/>
      <c r="S20" s="29"/>
      <c r="T20" s="41"/>
      <c r="U20" s="41"/>
      <c r="V20" s="41"/>
      <c r="W20" s="41"/>
      <c r="X20" s="41"/>
      <c r="Y20" s="29"/>
      <c r="Z20" s="41"/>
      <c r="AA20" s="41"/>
      <c r="AB20" s="41"/>
      <c r="AC20" s="41"/>
      <c r="AD20" s="41"/>
      <c r="AK20" s="28"/>
      <c r="AN20" s="20"/>
      <c r="AO20" s="20"/>
      <c r="AP20" s="20"/>
      <c r="AQ20" s="28"/>
      <c r="AX20" s="15"/>
      <c r="AY20" s="15"/>
      <c r="AZ20" s="15"/>
      <c r="BA20" s="15"/>
      <c r="BB20" s="15"/>
      <c r="BD20" s="15"/>
      <c r="BE20" s="6"/>
      <c r="BJ20" s="15"/>
      <c r="BK20" s="6"/>
      <c r="BP20" s="15"/>
      <c r="BQ20" s="6"/>
      <c r="BV20" s="15"/>
      <c r="BW20" s="6"/>
      <c r="CB20" s="15"/>
      <c r="CC20" s="6"/>
      <c r="CH20" s="15"/>
      <c r="CI20" s="6"/>
      <c r="CN20" s="15"/>
      <c r="CO20" s="6"/>
      <c r="CT20" s="15"/>
      <c r="CU20" s="6"/>
    </row>
    <row r="21" spans="1:102" s="2" customFormat="1" ht="15.75" x14ac:dyDescent="0.25">
      <c r="A21" s="14"/>
      <c r="B21" s="41"/>
      <c r="C21" s="41"/>
      <c r="D21" s="41"/>
      <c r="E21" s="41"/>
      <c r="F21" s="41"/>
      <c r="G21" s="29"/>
      <c r="H21" s="41"/>
      <c r="I21" s="41"/>
      <c r="J21" s="41"/>
      <c r="K21" s="41"/>
      <c r="L21" s="41"/>
      <c r="M21" s="29"/>
      <c r="N21" s="41"/>
      <c r="O21" s="41"/>
      <c r="P21" s="41"/>
      <c r="Q21" s="41"/>
      <c r="R21" s="41"/>
      <c r="S21" s="29"/>
      <c r="T21" s="41"/>
      <c r="U21" s="41"/>
      <c r="V21" s="41"/>
      <c r="W21" s="41"/>
      <c r="X21" s="41"/>
      <c r="Y21" s="29"/>
      <c r="Z21" s="41"/>
      <c r="AA21" s="41"/>
      <c r="AB21" s="41"/>
      <c r="AC21" s="41"/>
      <c r="AD21" s="41"/>
      <c r="AK21" s="28"/>
      <c r="AN21" s="20"/>
      <c r="AO21" s="20"/>
      <c r="AP21" s="20"/>
      <c r="AQ21" s="28"/>
      <c r="AX21" s="15"/>
      <c r="AY21" s="15"/>
      <c r="AZ21" s="15"/>
      <c r="BA21" s="15"/>
      <c r="BB21" s="15"/>
      <c r="BD21" s="15"/>
      <c r="BE21" s="6"/>
      <c r="BJ21" s="15"/>
      <c r="BK21" s="6"/>
      <c r="BP21" s="15"/>
      <c r="BQ21" s="6"/>
      <c r="BV21" s="15"/>
      <c r="BW21" s="6"/>
      <c r="CB21" s="15"/>
      <c r="CC21" s="6"/>
      <c r="CH21" s="15"/>
      <c r="CI21" s="6"/>
      <c r="CN21" s="15"/>
      <c r="CO21" s="6"/>
      <c r="CT21" s="15"/>
      <c r="CU21" s="6"/>
    </row>
    <row r="22" spans="1:102" s="2" customFormat="1" ht="15.75" x14ac:dyDescent="0.25">
      <c r="A22" s="14"/>
      <c r="B22" s="41"/>
      <c r="C22" s="41"/>
      <c r="D22" s="41"/>
      <c r="E22" s="41"/>
      <c r="F22" s="41"/>
      <c r="G22" s="29"/>
      <c r="H22" s="41"/>
      <c r="I22" s="41"/>
      <c r="J22" s="41"/>
      <c r="K22" s="41"/>
      <c r="L22" s="41"/>
      <c r="M22" s="29"/>
      <c r="N22" s="41"/>
      <c r="O22" s="41"/>
      <c r="P22" s="41"/>
      <c r="Q22" s="41"/>
      <c r="R22" s="41"/>
      <c r="S22" s="29"/>
      <c r="T22" s="41"/>
      <c r="U22" s="41"/>
      <c r="V22" s="41"/>
      <c r="W22" s="41"/>
      <c r="X22" s="41"/>
      <c r="Y22" s="29"/>
      <c r="Z22" s="41"/>
      <c r="AA22" s="41"/>
      <c r="AB22" s="41"/>
      <c r="AC22" s="41"/>
      <c r="AD22" s="41"/>
      <c r="AK22" s="28"/>
      <c r="AN22" s="20"/>
      <c r="AO22" s="20"/>
      <c r="AP22" s="20"/>
      <c r="AQ22" s="28"/>
      <c r="AX22" s="15"/>
      <c r="AY22" s="15"/>
      <c r="AZ22" s="15"/>
      <c r="BA22" s="15"/>
      <c r="BB22" s="15"/>
      <c r="BD22" s="15"/>
      <c r="BE22" s="6"/>
      <c r="BJ22" s="15"/>
      <c r="BK22" s="6"/>
      <c r="BP22" s="15"/>
      <c r="BQ22" s="6"/>
      <c r="BV22" s="15"/>
      <c r="BW22" s="6"/>
      <c r="CB22" s="15"/>
      <c r="CC22" s="6"/>
      <c r="CH22" s="15"/>
      <c r="CI22" s="6"/>
      <c r="CN22" s="15"/>
      <c r="CO22" s="6"/>
      <c r="CT22" s="15"/>
      <c r="CU22" s="6"/>
    </row>
    <row r="23" spans="1:102" s="2" customFormat="1" ht="15.75" x14ac:dyDescent="0.25">
      <c r="B23" s="41"/>
      <c r="C23" s="41"/>
      <c r="D23" s="41"/>
      <c r="E23" s="41"/>
      <c r="F23" s="41"/>
      <c r="G23" s="29"/>
      <c r="H23" s="41"/>
      <c r="I23" s="41"/>
      <c r="J23" s="41"/>
      <c r="K23" s="41"/>
      <c r="L23" s="41"/>
      <c r="M23" s="29"/>
      <c r="N23" s="41"/>
      <c r="O23" s="41"/>
      <c r="P23" s="41"/>
      <c r="Q23" s="41"/>
      <c r="R23" s="41"/>
      <c r="S23" s="29"/>
      <c r="T23" s="41"/>
      <c r="U23" s="41"/>
      <c r="V23" s="41"/>
      <c r="W23" s="41"/>
      <c r="X23" s="41"/>
      <c r="Y23" s="29"/>
      <c r="Z23" s="41"/>
      <c r="AA23" s="41"/>
      <c r="AB23" s="41"/>
      <c r="AC23" s="41"/>
      <c r="AD23" s="41"/>
      <c r="AO23" s="23"/>
      <c r="AP23" s="23"/>
      <c r="AX23" s="15"/>
      <c r="AY23" s="15"/>
      <c r="AZ23" s="15"/>
      <c r="BA23" s="15"/>
      <c r="BB23" s="15"/>
      <c r="BD23" s="15"/>
      <c r="BE23" s="6"/>
      <c r="BJ23" s="15"/>
      <c r="BK23" s="6"/>
      <c r="BP23" s="15"/>
      <c r="BQ23" s="6"/>
      <c r="BV23" s="15"/>
      <c r="BW23" s="6"/>
      <c r="CB23" s="15"/>
      <c r="CC23" s="6"/>
      <c r="CH23" s="15"/>
      <c r="CI23" s="6"/>
      <c r="CN23" s="15"/>
      <c r="CO23" s="6"/>
      <c r="CT23" s="15"/>
      <c r="CU23" s="6"/>
    </row>
    <row r="24" spans="1:102" s="2" customFormat="1" ht="15.75" x14ac:dyDescent="0.25">
      <c r="B24" s="41"/>
      <c r="C24" s="41"/>
      <c r="D24" s="41"/>
      <c r="E24" s="41"/>
      <c r="F24" s="41"/>
      <c r="G24" s="29"/>
      <c r="H24" s="41"/>
      <c r="I24" s="41"/>
      <c r="J24" s="41"/>
      <c r="K24" s="41"/>
      <c r="L24" s="41"/>
      <c r="M24" s="29"/>
      <c r="N24" s="41"/>
      <c r="O24" s="41"/>
      <c r="P24" s="41"/>
      <c r="Q24" s="41"/>
      <c r="R24" s="41"/>
      <c r="S24" s="29"/>
      <c r="T24" s="41"/>
      <c r="U24" s="41"/>
      <c r="V24" s="41"/>
      <c r="W24" s="41"/>
      <c r="X24" s="41"/>
      <c r="Y24" s="29"/>
      <c r="Z24" s="41"/>
      <c r="AA24" s="41"/>
      <c r="AB24" s="41"/>
      <c r="AC24" s="41"/>
      <c r="AD24" s="41"/>
      <c r="BD24" s="15"/>
      <c r="BJ24" s="15"/>
      <c r="BP24" s="15"/>
      <c r="BV24" s="15"/>
      <c r="CB24" s="15"/>
      <c r="CH24" s="15"/>
      <c r="CN24" s="15"/>
      <c r="CT24" s="15"/>
    </row>
    <row r="25" spans="1:102" s="2" customFormat="1" ht="15" x14ac:dyDescent="0.25">
      <c r="B25" s="41"/>
      <c r="C25" s="41"/>
      <c r="D25" s="41"/>
      <c r="E25" s="41"/>
      <c r="F25" s="41"/>
      <c r="G25" s="29"/>
      <c r="H25" s="41"/>
      <c r="I25" s="41"/>
      <c r="J25" s="41"/>
      <c r="K25" s="41"/>
      <c r="L25" s="41"/>
      <c r="M25" s="29"/>
      <c r="N25" s="41"/>
      <c r="O25" s="41"/>
      <c r="P25" s="41"/>
      <c r="Q25" s="41"/>
      <c r="R25" s="41"/>
      <c r="S25" s="29"/>
      <c r="T25" s="41"/>
      <c r="U25" s="41"/>
      <c r="V25" s="41"/>
      <c r="W25" s="41"/>
      <c r="X25" s="41"/>
      <c r="Y25" s="29"/>
      <c r="Z25" s="41"/>
      <c r="AA25" s="41"/>
      <c r="AB25" s="41"/>
      <c r="AC25" s="41"/>
      <c r="AD25" s="41"/>
    </row>
    <row r="26" spans="1:102" s="2" customFormat="1" ht="15" x14ac:dyDescent="0.25">
      <c r="B26" s="41"/>
      <c r="C26" s="41"/>
      <c r="D26" s="41"/>
      <c r="E26" s="41"/>
      <c r="F26" s="41"/>
      <c r="G26" s="29"/>
      <c r="H26" s="41"/>
      <c r="I26" s="41"/>
      <c r="J26" s="41"/>
      <c r="K26" s="41"/>
      <c r="L26" s="41"/>
      <c r="M26" s="29"/>
      <c r="N26" s="41"/>
      <c r="O26" s="41"/>
      <c r="P26" s="41"/>
      <c r="Q26" s="41"/>
      <c r="R26" s="41"/>
      <c r="S26" s="29"/>
      <c r="T26" s="41"/>
      <c r="U26" s="41"/>
      <c r="V26" s="41"/>
      <c r="W26" s="41"/>
      <c r="X26" s="41"/>
      <c r="Y26" s="29"/>
      <c r="Z26" s="41"/>
      <c r="AA26" s="41"/>
      <c r="AB26" s="41"/>
      <c r="AC26" s="41"/>
      <c r="AD26" s="41"/>
    </row>
    <row r="27" spans="1:102" s="2" customFormat="1" ht="15" x14ac:dyDescent="0.25">
      <c r="B27" s="41"/>
      <c r="C27" s="41"/>
      <c r="D27" s="41"/>
      <c r="E27" s="41"/>
      <c r="F27" s="41"/>
      <c r="G27" s="29"/>
      <c r="H27" s="41"/>
      <c r="I27" s="41"/>
      <c r="J27" s="41"/>
      <c r="K27" s="41"/>
      <c r="L27" s="41"/>
      <c r="M27" s="29"/>
      <c r="N27" s="41"/>
      <c r="O27" s="41"/>
      <c r="P27" s="41"/>
      <c r="Q27" s="41"/>
      <c r="R27" s="41"/>
      <c r="S27" s="29"/>
      <c r="T27" s="41"/>
      <c r="U27" s="41"/>
      <c r="V27" s="41"/>
      <c r="W27" s="41"/>
      <c r="X27" s="41"/>
      <c r="Y27" s="29"/>
      <c r="Z27" s="41"/>
      <c r="AA27" s="41"/>
      <c r="AB27" s="41"/>
      <c r="AC27" s="41"/>
      <c r="AD27" s="41"/>
      <c r="AJ27" s="20"/>
    </row>
    <row r="28" spans="1:102" s="7" customFormat="1" ht="15" x14ac:dyDescent="0.25">
      <c r="B28" s="41"/>
      <c r="C28" s="41"/>
      <c r="D28" s="41"/>
      <c r="E28" s="41"/>
      <c r="F28" s="41"/>
      <c r="G28" s="29"/>
      <c r="H28" s="41"/>
      <c r="I28" s="41"/>
      <c r="J28" s="41"/>
      <c r="K28" s="41"/>
      <c r="L28" s="41"/>
      <c r="M28" s="29"/>
      <c r="N28" s="41"/>
      <c r="O28" s="41"/>
      <c r="P28" s="41"/>
      <c r="Q28" s="41"/>
      <c r="R28" s="41"/>
      <c r="S28" s="29"/>
      <c r="T28" s="41"/>
      <c r="U28" s="41"/>
      <c r="V28" s="41"/>
      <c r="W28" s="41"/>
      <c r="X28" s="41"/>
      <c r="Y28" s="29"/>
      <c r="Z28" s="41"/>
      <c r="AA28" s="41"/>
      <c r="AB28" s="41"/>
      <c r="AC28" s="41"/>
      <c r="AD28" s="41"/>
      <c r="AE28" s="2"/>
      <c r="AF28" s="2"/>
      <c r="AI28" s="20"/>
      <c r="AK28" s="2"/>
      <c r="AO28" s="2"/>
      <c r="AP28" s="2"/>
      <c r="AQ28" s="2"/>
      <c r="AR28" s="2"/>
      <c r="AS28" s="2"/>
      <c r="AT28" s="2"/>
      <c r="AU28" s="2"/>
      <c r="AV28" s="2"/>
      <c r="AW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s="7" customFormat="1" ht="15" x14ac:dyDescent="0.25">
      <c r="B29" s="41"/>
      <c r="C29" s="41"/>
      <c r="D29" s="41"/>
      <c r="E29" s="41"/>
      <c r="F29" s="41"/>
      <c r="G29" s="29"/>
      <c r="H29" s="41"/>
      <c r="I29" s="41"/>
      <c r="J29" s="41"/>
      <c r="K29" s="41"/>
      <c r="L29" s="41"/>
      <c r="M29" s="29"/>
      <c r="N29" s="41"/>
      <c r="O29" s="41"/>
      <c r="P29" s="41"/>
      <c r="Q29" s="41"/>
      <c r="R29" s="41"/>
      <c r="S29" s="29"/>
      <c r="T29" s="41"/>
      <c r="U29" s="41"/>
      <c r="V29" s="41"/>
      <c r="W29" s="41"/>
      <c r="X29" s="41"/>
      <c r="Y29" s="29"/>
      <c r="Z29" s="41"/>
      <c r="AA29" s="41"/>
      <c r="AB29" s="41"/>
      <c r="AC29" s="41"/>
      <c r="AD29" s="41"/>
      <c r="AE29" s="2"/>
      <c r="AF29" s="2"/>
      <c r="AK29" s="2"/>
      <c r="AO29" s="2"/>
      <c r="AP29" s="2"/>
      <c r="AQ29" s="2"/>
      <c r="AR29" s="2"/>
      <c r="AS29" s="2"/>
      <c r="AT29" s="2"/>
      <c r="AU29" s="2"/>
      <c r="AV29" s="2"/>
      <c r="AW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s="7" customFormat="1" x14ac:dyDescent="0.2">
      <c r="E30" s="2"/>
      <c r="G30" s="2"/>
      <c r="K30" s="2"/>
      <c r="M30" s="2"/>
      <c r="Q30" s="2"/>
      <c r="S30" s="2"/>
      <c r="W30" s="2"/>
      <c r="Y30" s="2"/>
      <c r="Z30" s="2"/>
      <c r="AA30" s="2"/>
      <c r="AB30" s="2"/>
      <c r="AC30" s="2"/>
      <c r="AD30" s="2"/>
      <c r="AE30" s="2"/>
      <c r="AI30" s="2"/>
      <c r="AK30" s="2"/>
      <c r="AO30" s="2"/>
      <c r="AP30" s="2"/>
      <c r="AQ30" s="2"/>
      <c r="AR30" s="2"/>
      <c r="AS30" s="2"/>
      <c r="AT30" s="2"/>
      <c r="AU30" s="2"/>
      <c r="AV30" s="2"/>
      <c r="AW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s="7" customFormat="1" x14ac:dyDescent="0.2">
      <c r="E31" s="2"/>
      <c r="G31" s="2"/>
      <c r="K31" s="2"/>
      <c r="M31" s="2"/>
      <c r="Q31" s="2"/>
      <c r="S31" s="2"/>
      <c r="W31" s="2"/>
      <c r="Y31" s="2"/>
      <c r="Z31" s="2"/>
      <c r="AA31" s="2"/>
      <c r="AB31" s="2"/>
      <c r="AC31" s="2"/>
      <c r="AD31" s="2"/>
      <c r="AE31" s="2"/>
      <c r="AI31" s="2"/>
      <c r="AK31" s="2"/>
      <c r="AO31" s="2"/>
      <c r="AP31" s="2"/>
      <c r="AQ31" s="2"/>
      <c r="AR31" s="2"/>
      <c r="AS31" s="2"/>
      <c r="AT31" s="2"/>
      <c r="AU31" s="2"/>
      <c r="AV31" s="2"/>
      <c r="AW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s="7" customFormat="1" x14ac:dyDescent="0.2">
      <c r="E32" s="2"/>
      <c r="G32" s="18"/>
      <c r="K32" s="2"/>
      <c r="M32" s="18"/>
      <c r="Q32" s="2"/>
      <c r="S32" s="18"/>
      <c r="W32" s="2"/>
      <c r="Y32" s="18"/>
      <c r="Z32" s="2"/>
      <c r="AA32" s="2"/>
      <c r="AB32" s="2"/>
      <c r="AC32" s="2"/>
      <c r="AD32" s="2"/>
      <c r="AE32" s="18"/>
      <c r="AI32" s="2"/>
      <c r="AK32" s="18"/>
      <c r="AO32" s="2"/>
      <c r="AP32" s="2"/>
      <c r="AQ32" s="18"/>
      <c r="AR32" s="2"/>
      <c r="AS32" s="2"/>
      <c r="AT32" s="2"/>
      <c r="AU32" s="2"/>
      <c r="AV32" s="2"/>
      <c r="AW32" s="18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5:102" s="7" customFormat="1" x14ac:dyDescent="0.2">
      <c r="E33" s="2"/>
      <c r="G33" s="18"/>
      <c r="K33" s="2"/>
      <c r="M33" s="18"/>
      <c r="Q33" s="2"/>
      <c r="S33" s="18"/>
      <c r="W33" s="2"/>
      <c r="Y33" s="18"/>
      <c r="Z33" s="2"/>
      <c r="AA33" s="2"/>
      <c r="AB33" s="2"/>
      <c r="AC33" s="2"/>
      <c r="AD33" s="2"/>
      <c r="AE33" s="18"/>
      <c r="AI33" s="2"/>
      <c r="AK33" s="18"/>
      <c r="AO33" s="2"/>
      <c r="AP33" s="2"/>
      <c r="AQ33" s="18"/>
      <c r="AR33" s="2"/>
      <c r="AS33" s="2"/>
      <c r="AT33" s="2"/>
      <c r="AU33" s="2"/>
      <c r="AV33" s="2"/>
      <c r="AW33" s="18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5:102" x14ac:dyDescent="0.2">
      <c r="F34" s="8"/>
      <c r="L34" s="8"/>
      <c r="R34" s="8"/>
      <c r="X34" s="8"/>
      <c r="AJ34" s="8"/>
    </row>
    <row r="35" spans="5:102" x14ac:dyDescent="0.2">
      <c r="F35" s="8"/>
      <c r="L35" s="8"/>
      <c r="R35" s="8"/>
      <c r="X35" s="8"/>
      <c r="AJ35" s="8"/>
    </row>
    <row r="36" spans="5:102" x14ac:dyDescent="0.2">
      <c r="F36" s="8"/>
      <c r="L36" s="8"/>
      <c r="R36" s="8"/>
      <c r="X36" s="8"/>
      <c r="AJ36" s="8"/>
    </row>
    <row r="37" spans="5:102" x14ac:dyDescent="0.2">
      <c r="F37" s="8"/>
      <c r="L37" s="8"/>
      <c r="R37" s="8"/>
      <c r="X37" s="8"/>
      <c r="AJ37" s="8"/>
    </row>
    <row r="38" spans="5:102" x14ac:dyDescent="0.2">
      <c r="F38" s="8"/>
      <c r="L38" s="8"/>
      <c r="R38" s="8"/>
      <c r="X38" s="8"/>
      <c r="AJ38" s="8"/>
    </row>
    <row r="39" spans="5:102" x14ac:dyDescent="0.2">
      <c r="F39" s="8"/>
      <c r="L39" s="8"/>
      <c r="R39" s="8"/>
      <c r="X39" s="8"/>
      <c r="AJ39" s="8"/>
    </row>
    <row r="40" spans="5:102" x14ac:dyDescent="0.2">
      <c r="F40" s="8"/>
      <c r="L40" s="8"/>
      <c r="R40" s="8"/>
      <c r="X40" s="8"/>
      <c r="AJ40" s="8"/>
    </row>
    <row r="41" spans="5:102" x14ac:dyDescent="0.2">
      <c r="F41" s="8"/>
      <c r="L41" s="8"/>
      <c r="R41" s="8"/>
      <c r="X41" s="8"/>
      <c r="AJ41" s="8"/>
    </row>
    <row r="42" spans="5:102" x14ac:dyDescent="0.2">
      <c r="F42" s="8"/>
      <c r="L42" s="8"/>
      <c r="R42" s="8"/>
      <c r="X42" s="8"/>
      <c r="AJ42" s="8"/>
    </row>
    <row r="43" spans="5:102" x14ac:dyDescent="0.2">
      <c r="F43" s="8"/>
      <c r="L43" s="8"/>
      <c r="R43" s="8"/>
      <c r="X43" s="8"/>
      <c r="AJ43" s="8"/>
    </row>
    <row r="44" spans="5:102" x14ac:dyDescent="0.2">
      <c r="F44" s="8"/>
      <c r="L44" s="8"/>
      <c r="R44" s="8"/>
      <c r="X44" s="8"/>
      <c r="AJ44" s="8"/>
    </row>
    <row r="45" spans="5:102" x14ac:dyDescent="0.2">
      <c r="F45" s="8"/>
      <c r="L45" s="8"/>
      <c r="R45" s="8"/>
      <c r="X45" s="8"/>
      <c r="AJ45" s="8"/>
    </row>
    <row r="46" spans="5:102" x14ac:dyDescent="0.2">
      <c r="F46" s="8"/>
      <c r="L46" s="8"/>
      <c r="R46" s="8"/>
      <c r="X46" s="8"/>
      <c r="AJ46" s="8"/>
    </row>
    <row r="47" spans="5:102" x14ac:dyDescent="0.2">
      <c r="F47" s="8"/>
      <c r="L47" s="8"/>
      <c r="R47" s="8"/>
      <c r="X47" s="8"/>
      <c r="AJ47" s="8"/>
    </row>
    <row r="48" spans="5:102" x14ac:dyDescent="0.2">
      <c r="F48" s="8"/>
      <c r="L48" s="8"/>
      <c r="R48" s="8"/>
      <c r="X48" s="8"/>
      <c r="AJ48" s="8"/>
    </row>
    <row r="49" spans="6:36" x14ac:dyDescent="0.2">
      <c r="F49" s="8"/>
      <c r="L49" s="8"/>
      <c r="R49" s="8"/>
      <c r="X49" s="8"/>
      <c r="AJ49" s="8"/>
    </row>
    <row r="50" spans="6:36" x14ac:dyDescent="0.2">
      <c r="F50" s="8"/>
      <c r="L50" s="8"/>
      <c r="R50" s="8"/>
      <c r="X50" s="8"/>
      <c r="AJ50" s="8"/>
    </row>
    <row r="51" spans="6:36" x14ac:dyDescent="0.2">
      <c r="F51" s="8"/>
      <c r="L51" s="8"/>
      <c r="R51" s="8"/>
      <c r="X51" s="8"/>
      <c r="AJ51" s="8"/>
    </row>
    <row r="52" spans="6:36" x14ac:dyDescent="0.2">
      <c r="F52" s="8"/>
      <c r="L52" s="8"/>
      <c r="R52" s="8"/>
      <c r="X52" s="8"/>
      <c r="AJ52" s="8"/>
    </row>
    <row r="53" spans="6:36" x14ac:dyDescent="0.2">
      <c r="F53" s="8"/>
      <c r="L53" s="8"/>
      <c r="R53" s="8"/>
      <c r="X53" s="8"/>
      <c r="AJ53" s="8"/>
    </row>
    <row r="54" spans="6:36" x14ac:dyDescent="0.2">
      <c r="F54" s="8"/>
      <c r="L54" s="8"/>
      <c r="R54" s="8"/>
      <c r="X54" s="8"/>
      <c r="AJ54" s="8"/>
    </row>
    <row r="55" spans="6:36" x14ac:dyDescent="0.2">
      <c r="F55" s="8"/>
      <c r="L55" s="8"/>
      <c r="R55" s="8"/>
      <c r="X55" s="8"/>
      <c r="AJ55" s="8"/>
    </row>
    <row r="56" spans="6:36" x14ac:dyDescent="0.2">
      <c r="F56" s="8"/>
      <c r="L56" s="8"/>
      <c r="R56" s="8"/>
      <c r="X56" s="8"/>
      <c r="AJ56" s="8"/>
    </row>
    <row r="57" spans="6:36" x14ac:dyDescent="0.2">
      <c r="F57" s="8"/>
      <c r="L57" s="8"/>
      <c r="R57" s="8"/>
      <c r="X57" s="8"/>
      <c r="AJ57" s="8"/>
    </row>
    <row r="58" spans="6:36" x14ac:dyDescent="0.2">
      <c r="F58" s="8"/>
      <c r="L58" s="8"/>
      <c r="R58" s="8"/>
      <c r="X58" s="8"/>
      <c r="AJ58" s="8"/>
    </row>
  </sheetData>
  <mergeCells count="16">
    <mergeCell ref="AF3:AJ3"/>
    <mergeCell ref="Z3:AD3"/>
    <mergeCell ref="N3:R3"/>
    <mergeCell ref="CH3:CL3"/>
    <mergeCell ref="B3:F3"/>
    <mergeCell ref="H3:L3"/>
    <mergeCell ref="T3:X3"/>
    <mergeCell ref="CN3:CR3"/>
    <mergeCell ref="AX3:BB3"/>
    <mergeCell ref="BD3:BH3"/>
    <mergeCell ref="AL3:AP3"/>
    <mergeCell ref="BJ3:BN3"/>
    <mergeCell ref="BP3:BT3"/>
    <mergeCell ref="BV3:BZ3"/>
    <mergeCell ref="AR3:AV3"/>
    <mergeCell ref="CB3:CF3"/>
  </mergeCells>
  <pageMargins left="0.5" right="0.5" top="1" bottom="1" header="0.5" footer="0.5"/>
  <pageSetup scale="42" fitToWidth="3" fitToHeight="0" orientation="landscape" r:id="rId1"/>
  <headerFooter>
    <oddFooter>&amp;R&amp;11&amp;P</oddFooter>
  </headerFooter>
  <colBreaks count="2" manualBreakCount="2">
    <brk id="55" max="15" man="1"/>
    <brk id="79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9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54" sqref="V54"/>
    </sheetView>
  </sheetViews>
  <sheetFormatPr defaultRowHeight="12.75" x14ac:dyDescent="0.2"/>
  <cols>
    <col min="1" max="1" width="100" customWidth="1"/>
    <col min="2" max="12" width="16.7109375" customWidth="1"/>
    <col min="13" max="13" width="3.42578125" customWidth="1"/>
    <col min="14" max="14" width="49.42578125" customWidth="1"/>
    <col min="15" max="15" width="12.85546875" customWidth="1"/>
    <col min="16" max="16" width="9.28515625" bestFit="1" customWidth="1"/>
    <col min="20" max="20" width="11.28515625" customWidth="1"/>
  </cols>
  <sheetData>
    <row r="1" spans="1:16" ht="20.25" x14ac:dyDescent="0.2">
      <c r="A1" s="135" t="s">
        <v>53</v>
      </c>
      <c r="B1" s="118"/>
      <c r="C1" s="118"/>
      <c r="D1" s="118"/>
      <c r="E1" s="118"/>
      <c r="F1" s="118"/>
      <c r="G1" s="118"/>
      <c r="H1" s="118"/>
      <c r="I1" s="118"/>
      <c r="J1" s="119"/>
      <c r="O1" s="8">
        <f>1000</f>
        <v>1000</v>
      </c>
    </row>
    <row r="2" spans="1:16" ht="21" thickBot="1" x14ac:dyDescent="0.25">
      <c r="A2" s="120" t="s">
        <v>54</v>
      </c>
      <c r="B2" s="121"/>
      <c r="C2" s="121"/>
      <c r="D2" s="121"/>
      <c r="E2" s="121"/>
      <c r="F2" s="121"/>
      <c r="G2" s="121"/>
      <c r="H2" s="121"/>
      <c r="I2" s="122"/>
      <c r="J2" s="123"/>
    </row>
    <row r="3" spans="1:16" ht="18.75" x14ac:dyDescent="0.3">
      <c r="A3" s="43" t="s">
        <v>21</v>
      </c>
      <c r="B3" s="114">
        <v>2021</v>
      </c>
      <c r="C3" s="115"/>
      <c r="D3" s="115"/>
      <c r="E3" s="89"/>
      <c r="F3" s="116">
        <v>2020</v>
      </c>
      <c r="G3" s="115"/>
      <c r="H3" s="117"/>
      <c r="I3" s="97"/>
      <c r="J3" s="45"/>
    </row>
    <row r="4" spans="1:16" ht="20.25" x14ac:dyDescent="0.3">
      <c r="A4" s="46"/>
      <c r="B4" s="47" t="s">
        <v>61</v>
      </c>
      <c r="C4" s="48" t="s">
        <v>62</v>
      </c>
      <c r="D4" s="48" t="s">
        <v>63</v>
      </c>
      <c r="E4" s="90" t="s">
        <v>64</v>
      </c>
      <c r="F4" s="48" t="s">
        <v>61</v>
      </c>
      <c r="G4" s="48" t="s">
        <v>62</v>
      </c>
      <c r="H4" s="48" t="s">
        <v>63</v>
      </c>
      <c r="I4" s="98" t="s">
        <v>64</v>
      </c>
      <c r="J4" s="50" t="s">
        <v>22</v>
      </c>
      <c r="N4" s="106"/>
      <c r="O4" s="110">
        <f>B3</f>
        <v>2021</v>
      </c>
      <c r="P4" s="110">
        <f>F3</f>
        <v>2020</v>
      </c>
    </row>
    <row r="5" spans="1:16" ht="18.75" x14ac:dyDescent="0.3">
      <c r="A5" s="51" t="s">
        <v>23</v>
      </c>
      <c r="B5" s="52">
        <v>23365.942626519096</v>
      </c>
      <c r="C5" s="53">
        <v>21167.177973478349</v>
      </c>
      <c r="D5" s="53">
        <v>21916.644250714227</v>
      </c>
      <c r="E5" s="91">
        <v>66449.764850711683</v>
      </c>
      <c r="F5" s="54">
        <v>21791.710360699664</v>
      </c>
      <c r="G5" s="54">
        <v>21462.907891482675</v>
      </c>
      <c r="H5" s="54">
        <v>19306.850229234533</v>
      </c>
      <c r="I5" s="99">
        <v>62561.468481416872</v>
      </c>
      <c r="J5" s="55">
        <v>6.2151616061406581E-2</v>
      </c>
      <c r="N5" s="108" t="s">
        <v>1</v>
      </c>
      <c r="O5" s="111">
        <f>(E5)/(1000)</f>
        <v>66.449764850711688</v>
      </c>
      <c r="P5" s="111">
        <f>(I5)/(1000)</f>
        <v>62.561468481416874</v>
      </c>
    </row>
    <row r="6" spans="1:16" ht="18.75" x14ac:dyDescent="0.3">
      <c r="A6" s="56" t="s">
        <v>24</v>
      </c>
      <c r="B6" s="57">
        <v>5122.4493200000243</v>
      </c>
      <c r="C6" s="53">
        <v>5021.9680700000026</v>
      </c>
      <c r="D6" s="53">
        <v>5894.4603100000195</v>
      </c>
      <c r="E6" s="92">
        <v>16038.877700000048</v>
      </c>
      <c r="F6" s="53">
        <v>5194.7494600000036</v>
      </c>
      <c r="G6" s="53">
        <v>4463.5558299999848</v>
      </c>
      <c r="H6" s="53">
        <v>5391.9627099999925</v>
      </c>
      <c r="I6" s="100">
        <v>15050.267999999982</v>
      </c>
      <c r="J6" s="55">
        <v>6.5687182447519712E-2</v>
      </c>
      <c r="N6" s="108" t="s">
        <v>2</v>
      </c>
      <c r="O6" s="111">
        <f>(E14)/(1000)</f>
        <v>81.57613680999998</v>
      </c>
      <c r="P6" s="111">
        <f>(I14)/(1000)</f>
        <v>89.111795768398537</v>
      </c>
    </row>
    <row r="7" spans="1:16" ht="18.75" x14ac:dyDescent="0.3">
      <c r="A7" s="60" t="s">
        <v>25</v>
      </c>
      <c r="B7" s="61">
        <v>419.05578000000008</v>
      </c>
      <c r="C7" s="62">
        <v>385.36717000000004</v>
      </c>
      <c r="D7" s="62">
        <v>477.34031000000039</v>
      </c>
      <c r="E7" s="93">
        <v>1281.7632600000006</v>
      </c>
      <c r="F7" s="64">
        <v>474.19286000000022</v>
      </c>
      <c r="G7" s="64">
        <v>329.50936000000024</v>
      </c>
      <c r="H7" s="64">
        <v>372.33120999999983</v>
      </c>
      <c r="I7" s="101">
        <v>1176.0334300000004</v>
      </c>
      <c r="J7" s="66">
        <v>8.9903762344579086E-2</v>
      </c>
      <c r="N7" s="108" t="s">
        <v>3</v>
      </c>
      <c r="O7" s="111">
        <f>(E18)/(1000)</f>
        <v>35.861246511107893</v>
      </c>
      <c r="P7" s="111">
        <f>(I18)/(1000)</f>
        <v>19.696134528247701</v>
      </c>
    </row>
    <row r="8" spans="1:16" ht="18.75" x14ac:dyDescent="0.3">
      <c r="A8" s="60" t="s">
        <v>26</v>
      </c>
      <c r="B8" s="61">
        <v>4703.3935400000246</v>
      </c>
      <c r="C8" s="62">
        <v>4636.6009000000022</v>
      </c>
      <c r="D8" s="62">
        <v>5417.120000000019</v>
      </c>
      <c r="E8" s="93">
        <v>14757.114440000047</v>
      </c>
      <c r="F8" s="64">
        <v>4720.5566000000035</v>
      </c>
      <c r="G8" s="64">
        <v>4134.0464699999848</v>
      </c>
      <c r="H8" s="64">
        <v>5019.6314999999922</v>
      </c>
      <c r="I8" s="101">
        <v>13874.234569999981</v>
      </c>
      <c r="J8" s="66">
        <v>6.3634492090043085E-2</v>
      </c>
      <c r="N8" s="109" t="s">
        <v>4</v>
      </c>
      <c r="O8" s="111">
        <f>(E24)/(1000)</f>
        <v>49.58499992971808</v>
      </c>
      <c r="P8" s="111">
        <f>(I24)/(1000)</f>
        <v>41.885928044536634</v>
      </c>
    </row>
    <row r="9" spans="1:16" ht="18.75" x14ac:dyDescent="0.3">
      <c r="A9" s="60"/>
      <c r="B9" s="61"/>
      <c r="C9" s="62"/>
      <c r="D9" s="62"/>
      <c r="E9" s="93"/>
      <c r="F9" s="64"/>
      <c r="G9" s="64"/>
      <c r="H9" s="64"/>
      <c r="I9" s="101"/>
      <c r="J9" s="66"/>
      <c r="N9" s="108" t="s">
        <v>5</v>
      </c>
      <c r="O9" s="111">
        <f>(E28)/(1000)</f>
        <v>30.11629730000001</v>
      </c>
      <c r="P9" s="111">
        <f>(I28)/(1000)</f>
        <v>26.98318205</v>
      </c>
    </row>
    <row r="10" spans="1:16" ht="18.75" x14ac:dyDescent="0.3">
      <c r="A10" s="56" t="s">
        <v>27</v>
      </c>
      <c r="B10" s="57">
        <v>18243.493306519071</v>
      </c>
      <c r="C10" s="53">
        <v>16145.209903478344</v>
      </c>
      <c r="D10" s="53">
        <v>16022.183940714207</v>
      </c>
      <c r="E10" s="92">
        <v>50410.887150711627</v>
      </c>
      <c r="F10" s="53">
        <v>16596.960900699662</v>
      </c>
      <c r="G10" s="53">
        <v>16999.352061482692</v>
      </c>
      <c r="H10" s="53">
        <v>13914.88751923454</v>
      </c>
      <c r="I10" s="100">
        <v>47511.20048141689</v>
      </c>
      <c r="J10" s="55">
        <v>6.1031643905291227E-2</v>
      </c>
      <c r="N10" s="108" t="s">
        <v>6</v>
      </c>
      <c r="O10" s="111">
        <f>(E35)/(1000)</f>
        <v>86.069277453514317</v>
      </c>
      <c r="P10" s="111">
        <f>(I35)/(1000)</f>
        <v>66.742974884389582</v>
      </c>
    </row>
    <row r="11" spans="1:16" ht="18.75" x14ac:dyDescent="0.3">
      <c r="A11" s="60" t="s">
        <v>28</v>
      </c>
      <c r="B11" s="67">
        <v>932.9222599999996</v>
      </c>
      <c r="C11" s="64">
        <v>842.45941999999923</v>
      </c>
      <c r="D11" s="64">
        <v>1254.4335899999996</v>
      </c>
      <c r="E11" s="93">
        <v>3029.8152699999982</v>
      </c>
      <c r="F11" s="64">
        <v>868.47573000000239</v>
      </c>
      <c r="G11" s="64">
        <v>1113.15949</v>
      </c>
      <c r="H11" s="64">
        <v>874.30112000000031</v>
      </c>
      <c r="I11" s="101">
        <v>2855.9363400000029</v>
      </c>
      <c r="J11" s="66">
        <v>6.0883335375744099E-2</v>
      </c>
      <c r="N11" s="108" t="s">
        <v>14</v>
      </c>
      <c r="O11" s="111">
        <f>(E40)/(1000)</f>
        <v>5.7250135801999935</v>
      </c>
      <c r="P11" s="111">
        <f>(I40)/(1000)</f>
        <v>3.5402202088000014</v>
      </c>
    </row>
    <row r="12" spans="1:16" ht="18.75" x14ac:dyDescent="0.3">
      <c r="A12" s="60" t="s">
        <v>29</v>
      </c>
      <c r="B12" s="67">
        <v>17310.571046519071</v>
      </c>
      <c r="C12" s="64">
        <v>15302.750483478345</v>
      </c>
      <c r="D12" s="64">
        <v>14767.750350714206</v>
      </c>
      <c r="E12" s="93">
        <v>47381.071880711621</v>
      </c>
      <c r="F12" s="64">
        <v>15728.485170699658</v>
      </c>
      <c r="G12" s="64">
        <v>15886.19257148269</v>
      </c>
      <c r="H12" s="64">
        <v>13040.58639923454</v>
      </c>
      <c r="I12" s="101">
        <v>44655.26414141689</v>
      </c>
      <c r="J12" s="66">
        <v>6.1041129006929262E-2</v>
      </c>
      <c r="N12" s="107" t="s">
        <v>7</v>
      </c>
      <c r="O12" s="112">
        <f>SUM(O5:O11)</f>
        <v>355.3827364352519</v>
      </c>
      <c r="P12" s="112">
        <f>SUM(P5:P11)</f>
        <v>310.52170396578936</v>
      </c>
    </row>
    <row r="13" spans="1:16" ht="18.75" x14ac:dyDescent="0.3">
      <c r="A13" s="60"/>
      <c r="B13" s="67"/>
      <c r="C13" s="64"/>
      <c r="D13" s="64"/>
      <c r="E13" s="93"/>
      <c r="F13" s="64"/>
      <c r="G13" s="64"/>
      <c r="H13" s="64"/>
      <c r="I13" s="101"/>
      <c r="J13" s="66"/>
      <c r="O13" s="111"/>
      <c r="P13" s="111"/>
    </row>
    <row r="14" spans="1:16" ht="18.75" x14ac:dyDescent="0.3">
      <c r="A14" s="51" t="s">
        <v>30</v>
      </c>
      <c r="B14" s="57">
        <v>29707.426320000057</v>
      </c>
      <c r="C14" s="53">
        <v>28421.504449999957</v>
      </c>
      <c r="D14" s="53">
        <v>23447.206039999965</v>
      </c>
      <c r="E14" s="92">
        <v>81576.136809999982</v>
      </c>
      <c r="F14" s="53">
        <v>27354.864377279955</v>
      </c>
      <c r="G14" s="53">
        <v>22436.493869999988</v>
      </c>
      <c r="H14" s="53">
        <v>39320.437521118583</v>
      </c>
      <c r="I14" s="100">
        <v>89111.79576839853</v>
      </c>
      <c r="J14" s="55">
        <v>-8.4564101681709095E-2</v>
      </c>
      <c r="O14" s="111">
        <f>(E41)/(1000)</f>
        <v>355.38273643525196</v>
      </c>
      <c r="P14" s="111">
        <f>(I41)/(1000)</f>
        <v>310.52170396578936</v>
      </c>
    </row>
    <row r="15" spans="1:16" ht="18.75" x14ac:dyDescent="0.3">
      <c r="A15" s="60" t="s">
        <v>31</v>
      </c>
      <c r="B15" s="67">
        <v>1766.5121499999993</v>
      </c>
      <c r="C15" s="64">
        <v>1179.9509400000002</v>
      </c>
      <c r="D15" s="64">
        <v>2062.9356300000009</v>
      </c>
      <c r="E15" s="93">
        <v>5009.3987200000001</v>
      </c>
      <c r="F15" s="64">
        <v>1669.2130499999998</v>
      </c>
      <c r="G15" s="64">
        <v>1610.51866</v>
      </c>
      <c r="H15" s="64">
        <v>1350.2135200000002</v>
      </c>
      <c r="I15" s="101">
        <v>4629.9452300000003</v>
      </c>
      <c r="J15" s="66">
        <v>8.1956366900694383E-2</v>
      </c>
      <c r="N15" s="105" t="s">
        <v>52</v>
      </c>
      <c r="O15" s="113">
        <f>O12-O14</f>
        <v>0</v>
      </c>
      <c r="P15" s="113">
        <f>P12-P14</f>
        <v>0</v>
      </c>
    </row>
    <row r="16" spans="1:16" ht="18.75" x14ac:dyDescent="0.3">
      <c r="A16" s="60" t="s">
        <v>32</v>
      </c>
      <c r="B16" s="67">
        <v>27940.914170000058</v>
      </c>
      <c r="C16" s="64">
        <v>27241.553509999958</v>
      </c>
      <c r="D16" s="64">
        <v>21384.270409999965</v>
      </c>
      <c r="E16" s="93">
        <v>76566.738089999984</v>
      </c>
      <c r="F16" s="64">
        <v>25685.651327279957</v>
      </c>
      <c r="G16" s="64">
        <v>20825.975209999986</v>
      </c>
      <c r="H16" s="64">
        <v>37970.224001118586</v>
      </c>
      <c r="I16" s="101">
        <v>84481.850538398518</v>
      </c>
      <c r="J16" s="66">
        <v>-9.3690093173337541E-2</v>
      </c>
      <c r="O16" s="8"/>
      <c r="P16" s="8"/>
    </row>
    <row r="17" spans="1:10" ht="18.75" x14ac:dyDescent="0.3">
      <c r="A17" s="60"/>
      <c r="B17" s="67"/>
      <c r="C17" s="64"/>
      <c r="D17" s="64"/>
      <c r="E17" s="93"/>
      <c r="F17" s="64"/>
      <c r="G17" s="64"/>
      <c r="H17" s="64"/>
      <c r="I17" s="101"/>
      <c r="J17" s="66"/>
    </row>
    <row r="18" spans="1:10" ht="18.75" x14ac:dyDescent="0.3">
      <c r="A18" s="51" t="s">
        <v>33</v>
      </c>
      <c r="B18" s="57">
        <v>13475.936456271209</v>
      </c>
      <c r="C18" s="53">
        <v>11048.404158686513</v>
      </c>
      <c r="D18" s="53">
        <v>11336.905896150176</v>
      </c>
      <c r="E18" s="92">
        <v>35861.246511107893</v>
      </c>
      <c r="F18" s="53">
        <v>5635.3507423181518</v>
      </c>
      <c r="G18" s="53">
        <v>6259.9245100892595</v>
      </c>
      <c r="H18" s="53">
        <v>7800.859275840291</v>
      </c>
      <c r="I18" s="100">
        <v>19696.134528247701</v>
      </c>
      <c r="J18" s="55">
        <v>0.82072510012949973</v>
      </c>
    </row>
    <row r="19" spans="1:10" ht="18.75" x14ac:dyDescent="0.3">
      <c r="A19" s="60" t="s">
        <v>34</v>
      </c>
      <c r="B19" s="67">
        <v>53.811109999999999</v>
      </c>
      <c r="C19" s="64">
        <v>0.47787000000000002</v>
      </c>
      <c r="D19" s="64">
        <v>0</v>
      </c>
      <c r="E19" s="93">
        <v>54.288980000000002</v>
      </c>
      <c r="F19" s="64">
        <v>0</v>
      </c>
      <c r="G19" s="64">
        <v>0</v>
      </c>
      <c r="H19" s="64">
        <v>0</v>
      </c>
      <c r="I19" s="101">
        <v>0</v>
      </c>
      <c r="J19" s="68" t="e">
        <v>#DIV/0!</v>
      </c>
    </row>
    <row r="20" spans="1:10" ht="18.75" x14ac:dyDescent="0.3">
      <c r="A20" s="60" t="s">
        <v>35</v>
      </c>
      <c r="B20" s="67">
        <v>13422.125346271208</v>
      </c>
      <c r="C20" s="64">
        <v>11047.926288686513</v>
      </c>
      <c r="D20" s="64">
        <v>11336.905896150176</v>
      </c>
      <c r="E20" s="93">
        <v>35806.957531107895</v>
      </c>
      <c r="F20" s="64">
        <v>5635.3507423181518</v>
      </c>
      <c r="G20" s="64">
        <v>6259.9245100892595</v>
      </c>
      <c r="H20" s="64">
        <v>7800.859275840291</v>
      </c>
      <c r="I20" s="93">
        <v>19696.134528247701</v>
      </c>
      <c r="J20" s="69">
        <v>0.81796877350499697</v>
      </c>
    </row>
    <row r="21" spans="1:10" ht="18.75" x14ac:dyDescent="0.3">
      <c r="A21" s="70" t="s">
        <v>36</v>
      </c>
      <c r="B21" s="67">
        <v>13044.935386271209</v>
      </c>
      <c r="C21" s="64">
        <v>10907.724658686513</v>
      </c>
      <c r="D21" s="64">
        <v>11180.554296150176</v>
      </c>
      <c r="E21" s="93">
        <v>35133.214341107901</v>
      </c>
      <c r="F21" s="64">
        <v>5500.4621423181516</v>
      </c>
      <c r="G21" s="64">
        <v>5783.6610300892598</v>
      </c>
      <c r="H21" s="64">
        <v>7617.4504558402914</v>
      </c>
      <c r="I21" s="93">
        <v>18901.573628247701</v>
      </c>
      <c r="J21" s="69">
        <v>0.85874546913927929</v>
      </c>
    </row>
    <row r="22" spans="1:10" ht="18.75" x14ac:dyDescent="0.3">
      <c r="A22" s="70" t="s">
        <v>37</v>
      </c>
      <c r="B22" s="67">
        <v>377.18996000000004</v>
      </c>
      <c r="C22" s="64">
        <v>140.20162999999999</v>
      </c>
      <c r="D22" s="64">
        <v>156.35159999999999</v>
      </c>
      <c r="E22" s="93">
        <v>673.74319000000003</v>
      </c>
      <c r="F22" s="64">
        <v>134.88860000000003</v>
      </c>
      <c r="G22" s="64">
        <v>476.26347999999996</v>
      </c>
      <c r="H22" s="64">
        <v>183.40882000000008</v>
      </c>
      <c r="I22" s="93">
        <v>794.56090000000006</v>
      </c>
      <c r="J22" s="69">
        <v>-0.15205594687581533</v>
      </c>
    </row>
    <row r="23" spans="1:10" ht="18.75" x14ac:dyDescent="0.3">
      <c r="A23" s="70"/>
      <c r="B23" s="67"/>
      <c r="C23" s="64"/>
      <c r="D23" s="64"/>
      <c r="E23" s="93"/>
      <c r="F23" s="64"/>
      <c r="G23" s="64"/>
      <c r="H23" s="64"/>
      <c r="I23" s="93"/>
      <c r="J23" s="69"/>
    </row>
    <row r="24" spans="1:10" ht="37.5" x14ac:dyDescent="0.3">
      <c r="A24" s="71" t="s">
        <v>38</v>
      </c>
      <c r="B24" s="57">
        <v>18894.757948119459</v>
      </c>
      <c r="C24" s="53">
        <v>14859.575801119741</v>
      </c>
      <c r="D24" s="53">
        <v>15830.666180478875</v>
      </c>
      <c r="E24" s="92">
        <v>49584.999929718077</v>
      </c>
      <c r="F24" s="53">
        <v>13766.885136974119</v>
      </c>
      <c r="G24" s="53">
        <v>14012.910304689512</v>
      </c>
      <c r="H24" s="53">
        <v>14106.132602873004</v>
      </c>
      <c r="I24" s="92">
        <v>41885.928044536631</v>
      </c>
      <c r="J24" s="72">
        <v>0.18381046438782844</v>
      </c>
    </row>
    <row r="25" spans="1:10" ht="18.75" x14ac:dyDescent="0.3">
      <c r="A25" s="60" t="s">
        <v>39</v>
      </c>
      <c r="B25" s="67">
        <v>12923.641638119478</v>
      </c>
      <c r="C25" s="64">
        <v>11042.34537111974</v>
      </c>
      <c r="D25" s="64">
        <v>11652.203490478882</v>
      </c>
      <c r="E25" s="93">
        <v>35618.190499718097</v>
      </c>
      <c r="F25" s="64">
        <v>9173.6590569741184</v>
      </c>
      <c r="G25" s="64">
        <v>10432.885434689522</v>
      </c>
      <c r="H25" s="64">
        <v>11370.169512873004</v>
      </c>
      <c r="I25" s="93">
        <v>30976.714004536647</v>
      </c>
      <c r="J25" s="69">
        <v>0.14983760041499852</v>
      </c>
    </row>
    <row r="26" spans="1:10" ht="18.75" x14ac:dyDescent="0.3">
      <c r="A26" s="60" t="s">
        <v>40</v>
      </c>
      <c r="B26" s="67">
        <v>5971.1163099999812</v>
      </c>
      <c r="C26" s="64">
        <v>3817.2304300000014</v>
      </c>
      <c r="D26" s="64">
        <v>4178.4626899999921</v>
      </c>
      <c r="E26" s="93">
        <v>13966.809429999976</v>
      </c>
      <c r="F26" s="64">
        <v>4593.2260800000004</v>
      </c>
      <c r="G26" s="64">
        <v>3580.0248699999902</v>
      </c>
      <c r="H26" s="64">
        <v>2735.9630899999988</v>
      </c>
      <c r="I26" s="93">
        <v>10909.21403999999</v>
      </c>
      <c r="J26" s="69">
        <v>0.28027641393678154</v>
      </c>
    </row>
    <row r="27" spans="1:10" ht="18.75" x14ac:dyDescent="0.3">
      <c r="A27" s="60"/>
      <c r="B27" s="67"/>
      <c r="C27" s="64"/>
      <c r="D27" s="64"/>
      <c r="E27" s="93"/>
      <c r="F27" s="64"/>
      <c r="G27" s="64"/>
      <c r="H27" s="64"/>
      <c r="I27" s="93"/>
      <c r="J27" s="69"/>
    </row>
    <row r="28" spans="1:10" ht="18.75" x14ac:dyDescent="0.3">
      <c r="A28" s="51" t="s">
        <v>41</v>
      </c>
      <c r="B28" s="57">
        <v>11713.831960000009</v>
      </c>
      <c r="C28" s="53">
        <v>9482.101190000003</v>
      </c>
      <c r="D28" s="53">
        <v>8920.3641499999976</v>
      </c>
      <c r="E28" s="92">
        <v>30116.297300000009</v>
      </c>
      <c r="F28" s="53">
        <v>7281.6876600000051</v>
      </c>
      <c r="G28" s="53">
        <v>9268.9773099999966</v>
      </c>
      <c r="H28" s="53">
        <v>10432.517079999998</v>
      </c>
      <c r="I28" s="92">
        <v>26983.182049999999</v>
      </c>
      <c r="J28" s="72">
        <v>0.11611363123127318</v>
      </c>
    </row>
    <row r="29" spans="1:10" ht="18.75" x14ac:dyDescent="0.3">
      <c r="A29" s="70" t="s">
        <v>42</v>
      </c>
      <c r="B29" s="67">
        <v>5471.4790800000028</v>
      </c>
      <c r="C29" s="64">
        <v>4142.0776100000021</v>
      </c>
      <c r="D29" s="64">
        <v>3198.8343599999976</v>
      </c>
      <c r="E29" s="93">
        <v>12812.391050000002</v>
      </c>
      <c r="F29" s="64">
        <v>3644.0387999999984</v>
      </c>
      <c r="G29" s="64">
        <v>3851.0526499999996</v>
      </c>
      <c r="H29" s="64">
        <v>2923.4395199999999</v>
      </c>
      <c r="I29" s="93">
        <v>10418.530969999998</v>
      </c>
      <c r="J29" s="69">
        <v>0.22976944512552563</v>
      </c>
    </row>
    <row r="30" spans="1:10" ht="18.75" x14ac:dyDescent="0.3">
      <c r="A30" s="70" t="s">
        <v>43</v>
      </c>
      <c r="B30" s="57">
        <v>2503.5979400000006</v>
      </c>
      <c r="C30" s="53">
        <v>3072.2309000000005</v>
      </c>
      <c r="D30" s="53">
        <v>3748.3627199999992</v>
      </c>
      <c r="E30" s="92">
        <v>9324.1915599999993</v>
      </c>
      <c r="F30" s="53">
        <v>1078.7600399999999</v>
      </c>
      <c r="G30" s="53">
        <v>3346.1828700000001</v>
      </c>
      <c r="H30" s="53">
        <v>5120.6607900000017</v>
      </c>
      <c r="I30" s="92">
        <v>9545.6037000000015</v>
      </c>
      <c r="J30" s="72">
        <v>-2.3195195082318591E-2</v>
      </c>
    </row>
    <row r="31" spans="1:10" ht="18.75" x14ac:dyDescent="0.3">
      <c r="A31" s="73" t="s">
        <v>44</v>
      </c>
      <c r="B31" s="67">
        <v>1606.7850600000002</v>
      </c>
      <c r="C31" s="64">
        <v>1643.6168500000003</v>
      </c>
      <c r="D31" s="64">
        <v>1188.6194699999996</v>
      </c>
      <c r="E31" s="93">
        <v>4439.0213800000001</v>
      </c>
      <c r="F31" s="64">
        <v>302.89200999999997</v>
      </c>
      <c r="G31" s="64">
        <v>1103.11544</v>
      </c>
      <c r="H31" s="64">
        <v>3906.7919600000009</v>
      </c>
      <c r="I31" s="93">
        <v>5312.7994100000014</v>
      </c>
      <c r="J31" s="69">
        <v>-0.16446659521067841</v>
      </c>
    </row>
    <row r="32" spans="1:10" ht="18.75" x14ac:dyDescent="0.3">
      <c r="A32" s="73" t="s">
        <v>45</v>
      </c>
      <c r="B32" s="67">
        <v>896.81288000000029</v>
      </c>
      <c r="C32" s="64">
        <v>1428.6140500000001</v>
      </c>
      <c r="D32" s="64">
        <v>2559.7432499999995</v>
      </c>
      <c r="E32" s="93">
        <v>4885.1701800000001</v>
      </c>
      <c r="F32" s="64">
        <v>775.86802999999998</v>
      </c>
      <c r="G32" s="64">
        <v>2243.0674300000001</v>
      </c>
      <c r="H32" s="64">
        <v>1213.8688300000003</v>
      </c>
      <c r="I32" s="93">
        <v>4232.80429</v>
      </c>
      <c r="J32" s="69">
        <v>0.15412143942993406</v>
      </c>
    </row>
    <row r="33" spans="1:10" ht="18.75" x14ac:dyDescent="0.3">
      <c r="A33" s="60" t="s">
        <v>46</v>
      </c>
      <c r="B33" s="67">
        <v>3738.7549400000053</v>
      </c>
      <c r="C33" s="64">
        <v>2267.7926800000005</v>
      </c>
      <c r="D33" s="64">
        <v>1973.1670700000009</v>
      </c>
      <c r="E33" s="93">
        <v>7979.7146900000062</v>
      </c>
      <c r="F33" s="64">
        <v>2558.888820000006</v>
      </c>
      <c r="G33" s="64">
        <v>2071.7417899999969</v>
      </c>
      <c r="H33" s="64">
        <v>2388.4167699999962</v>
      </c>
      <c r="I33" s="93">
        <v>7019.0473799999991</v>
      </c>
      <c r="J33" s="69">
        <v>0.13686576795838742</v>
      </c>
    </row>
    <row r="34" spans="1:10" ht="18.75" x14ac:dyDescent="0.3">
      <c r="A34" s="60"/>
      <c r="B34" s="67"/>
      <c r="C34" s="64"/>
      <c r="D34" s="64"/>
      <c r="E34" s="93"/>
      <c r="F34" s="64"/>
      <c r="G34" s="64"/>
      <c r="H34" s="64"/>
      <c r="I34" s="93"/>
      <c r="J34" s="69"/>
    </row>
    <row r="35" spans="1:10" ht="18.75" x14ac:dyDescent="0.3">
      <c r="A35" s="51" t="s">
        <v>6</v>
      </c>
      <c r="B35" s="57">
        <v>29987.461229418805</v>
      </c>
      <c r="C35" s="53">
        <v>29207.195129770953</v>
      </c>
      <c r="D35" s="53">
        <v>26874.621094324546</v>
      </c>
      <c r="E35" s="92">
        <v>86069.277453514311</v>
      </c>
      <c r="F35" s="53">
        <v>20209.430884996276</v>
      </c>
      <c r="G35" s="53">
        <v>23690.631211982491</v>
      </c>
      <c r="H35" s="53">
        <v>22842.912787410805</v>
      </c>
      <c r="I35" s="92">
        <v>66742.97488438958</v>
      </c>
      <c r="J35" s="72">
        <v>0.28956309787810991</v>
      </c>
    </row>
    <row r="36" spans="1:10" ht="18.75" x14ac:dyDescent="0.3">
      <c r="A36" s="60" t="s">
        <v>47</v>
      </c>
      <c r="B36" s="67">
        <v>9207.6152200000088</v>
      </c>
      <c r="C36" s="64">
        <v>9421.7083399999919</v>
      </c>
      <c r="D36" s="64">
        <v>8177.7386400000059</v>
      </c>
      <c r="E36" s="93">
        <v>26807.062200000008</v>
      </c>
      <c r="F36" s="64">
        <v>5347.0963799999981</v>
      </c>
      <c r="G36" s="64">
        <v>8200.1043499999996</v>
      </c>
      <c r="H36" s="64">
        <v>5875.9300500000036</v>
      </c>
      <c r="I36" s="93">
        <v>19423.13078</v>
      </c>
      <c r="J36" s="69">
        <v>0.38016175165762894</v>
      </c>
    </row>
    <row r="37" spans="1:10" ht="18.75" x14ac:dyDescent="0.3">
      <c r="A37" s="60" t="s">
        <v>48</v>
      </c>
      <c r="B37" s="67">
        <v>10734.823117302283</v>
      </c>
      <c r="C37" s="64">
        <v>10677.912236031922</v>
      </c>
      <c r="D37" s="64">
        <v>10823.3671959805</v>
      </c>
      <c r="E37" s="93">
        <v>32236.102549314703</v>
      </c>
      <c r="F37" s="64">
        <v>9052.8754431086454</v>
      </c>
      <c r="G37" s="64">
        <v>8013.7363876027057</v>
      </c>
      <c r="H37" s="64">
        <v>9990.4866708545105</v>
      </c>
      <c r="I37" s="93">
        <v>27057.098501565859</v>
      </c>
      <c r="J37" s="69">
        <v>0.19141017827351747</v>
      </c>
    </row>
    <row r="38" spans="1:10" ht="18.75" x14ac:dyDescent="0.3">
      <c r="A38" s="60" t="s">
        <v>49</v>
      </c>
      <c r="B38" s="67">
        <v>10045.022892116509</v>
      </c>
      <c r="C38" s="64">
        <v>9107.5745537390376</v>
      </c>
      <c r="D38" s="64">
        <v>7873.5152583440404</v>
      </c>
      <c r="E38" s="93">
        <v>27026.112704199586</v>
      </c>
      <c r="F38" s="64">
        <v>5809.45906188763</v>
      </c>
      <c r="G38" s="64">
        <v>7476.7904743797853</v>
      </c>
      <c r="H38" s="64">
        <v>6976.4960665562894</v>
      </c>
      <c r="I38" s="93">
        <v>20262.745602823707</v>
      </c>
      <c r="J38" s="69">
        <v>0.33378334969735657</v>
      </c>
    </row>
    <row r="39" spans="1:10" ht="18.75" x14ac:dyDescent="0.3">
      <c r="A39" s="74"/>
      <c r="B39" s="75"/>
      <c r="C39" s="76"/>
      <c r="D39" s="76"/>
      <c r="E39" s="94"/>
      <c r="F39" s="76"/>
      <c r="G39" s="76"/>
      <c r="H39" s="76"/>
      <c r="I39" s="102"/>
      <c r="J39" s="69"/>
    </row>
    <row r="40" spans="1:10" ht="19.5" thickBot="1" x14ac:dyDescent="0.35">
      <c r="A40" s="79" t="s">
        <v>50</v>
      </c>
      <c r="B40" s="80">
        <v>1729.5856099999996</v>
      </c>
      <c r="C40" s="81">
        <v>1545.631300199999</v>
      </c>
      <c r="D40" s="81">
        <v>2449.7966699999947</v>
      </c>
      <c r="E40" s="95">
        <v>5725.0135801999932</v>
      </c>
      <c r="F40" s="81">
        <v>839.51940879999995</v>
      </c>
      <c r="G40" s="81">
        <v>1326.0476700000004</v>
      </c>
      <c r="H40" s="81">
        <v>1374.6531300000008</v>
      </c>
      <c r="I40" s="103">
        <v>3540.2202088000013</v>
      </c>
      <c r="J40" s="69">
        <v>0.61713487934146138</v>
      </c>
    </row>
    <row r="41" spans="1:10" ht="21" thickBot="1" x14ac:dyDescent="0.35">
      <c r="A41" s="84" t="s">
        <v>51</v>
      </c>
      <c r="B41" s="85">
        <v>128874.94215032864</v>
      </c>
      <c r="C41" s="86">
        <v>115731.59000325551</v>
      </c>
      <c r="D41" s="86">
        <v>110776.20428166777</v>
      </c>
      <c r="E41" s="96">
        <v>355382.73643525195</v>
      </c>
      <c r="F41" s="87">
        <v>96879.448571068162</v>
      </c>
      <c r="G41" s="87">
        <v>98457.89276824391</v>
      </c>
      <c r="H41" s="87">
        <v>115184.36262647722</v>
      </c>
      <c r="I41" s="104">
        <v>310521.70396578935</v>
      </c>
      <c r="J41" s="88">
        <v>0.14446987729529209</v>
      </c>
    </row>
    <row r="49" spans="1:22" ht="13.5" thickBot="1" x14ac:dyDescent="0.25"/>
    <row r="50" spans="1:22" ht="20.25" x14ac:dyDescent="0.2">
      <c r="A50" s="135" t="s">
        <v>53</v>
      </c>
      <c r="B50" s="118"/>
      <c r="C50" s="118"/>
      <c r="D50" s="118"/>
      <c r="E50" s="118"/>
      <c r="F50" s="118"/>
      <c r="G50" s="118"/>
      <c r="H50" s="118"/>
      <c r="I50" s="119"/>
      <c r="J50" s="122"/>
    </row>
    <row r="51" spans="1:22" ht="21" thickBot="1" x14ac:dyDescent="0.25">
      <c r="A51" s="120" t="s">
        <v>55</v>
      </c>
      <c r="B51" s="121"/>
      <c r="C51" s="121"/>
      <c r="D51" s="121"/>
      <c r="E51" s="121"/>
      <c r="F51" s="121"/>
      <c r="G51" s="121"/>
      <c r="H51" s="122"/>
      <c r="I51" s="123"/>
      <c r="J51" s="122"/>
    </row>
    <row r="52" spans="1:22" ht="18.75" x14ac:dyDescent="0.3">
      <c r="A52" s="43"/>
      <c r="B52" s="114">
        <v>2022</v>
      </c>
      <c r="C52" s="115"/>
      <c r="D52" s="133"/>
      <c r="E52" s="133"/>
      <c r="F52" s="44">
        <v>2022</v>
      </c>
      <c r="G52" s="116">
        <v>2021</v>
      </c>
      <c r="H52" s="115"/>
      <c r="I52" s="133"/>
      <c r="J52" s="133"/>
      <c r="K52" s="44">
        <v>2021</v>
      </c>
      <c r="L52" s="124" t="s">
        <v>65</v>
      </c>
      <c r="O52" s="110">
        <f>B52</f>
        <v>2022</v>
      </c>
      <c r="S52" s="110">
        <f>G52</f>
        <v>2021</v>
      </c>
    </row>
    <row r="53" spans="1:22" ht="18.75" x14ac:dyDescent="0.3">
      <c r="A53" s="125" t="s">
        <v>21</v>
      </c>
      <c r="B53" s="126" t="s">
        <v>56</v>
      </c>
      <c r="C53" s="127" t="s">
        <v>57</v>
      </c>
      <c r="D53" s="127" t="s">
        <v>59</v>
      </c>
      <c r="E53" s="127" t="s">
        <v>60</v>
      </c>
      <c r="F53" s="49" t="s">
        <v>58</v>
      </c>
      <c r="G53" s="127" t="s">
        <v>56</v>
      </c>
      <c r="H53" s="127" t="s">
        <v>57</v>
      </c>
      <c r="I53" s="127" t="s">
        <v>59</v>
      </c>
      <c r="J53" s="127" t="s">
        <v>60</v>
      </c>
      <c r="K53" s="49" t="s">
        <v>58</v>
      </c>
      <c r="L53" s="128" t="s">
        <v>22</v>
      </c>
      <c r="N53" s="106"/>
      <c r="O53" s="134" t="str">
        <f>B53</f>
        <v>Q1</v>
      </c>
      <c r="P53" s="134" t="str">
        <f>C53</f>
        <v>Q2</v>
      </c>
      <c r="Q53" s="134" t="str">
        <f>D53</f>
        <v>Q3</v>
      </c>
      <c r="R53" s="134" t="str">
        <f>E53</f>
        <v>Q4</v>
      </c>
      <c r="S53" s="134" t="str">
        <f>G53</f>
        <v>Q1</v>
      </c>
      <c r="T53" s="134" t="str">
        <f>H53</f>
        <v>Q2</v>
      </c>
      <c r="U53" s="134" t="str">
        <f>I53</f>
        <v>Q3</v>
      </c>
      <c r="V53" s="134" t="str">
        <f>J53</f>
        <v>Q4</v>
      </c>
    </row>
    <row r="54" spans="1:22" ht="18.75" x14ac:dyDescent="0.3">
      <c r="A54" s="51" t="s">
        <v>23</v>
      </c>
      <c r="B54" s="52">
        <v>62060.428217287779</v>
      </c>
      <c r="C54" s="129">
        <v>71283.78002531454</v>
      </c>
      <c r="D54" s="129">
        <v>68735.342655892717</v>
      </c>
      <c r="E54" s="129">
        <v>87059.332894633131</v>
      </c>
      <c r="F54" s="59">
        <v>289138.88379312819</v>
      </c>
      <c r="G54" s="129">
        <v>51721.687541528008</v>
      </c>
      <c r="H54" s="129">
        <v>58522.185370435996</v>
      </c>
      <c r="I54" s="129">
        <v>56630.06241465413</v>
      </c>
      <c r="J54" s="129">
        <v>66449.764850711654</v>
      </c>
      <c r="K54" s="59">
        <v>233323.7001773298</v>
      </c>
      <c r="L54" s="55">
        <v>0.23921780587817676</v>
      </c>
      <c r="N54" s="108" t="s">
        <v>1</v>
      </c>
      <c r="O54" s="111">
        <f>(B54)/(1000)</f>
        <v>62.060428217287779</v>
      </c>
      <c r="P54" s="111">
        <f>(C54)/(1000)</f>
        <v>71.283780025314542</v>
      </c>
      <c r="Q54" s="111">
        <f>(D54)/(1000)</f>
        <v>68.735342655892723</v>
      </c>
      <c r="R54" s="111">
        <f>(E54)/(1000)</f>
        <v>87.05933289463313</v>
      </c>
      <c r="S54" s="111">
        <f>(G54)/(1000)</f>
        <v>51.721687541528006</v>
      </c>
      <c r="T54" s="111">
        <f>(H54)/(1000)</f>
        <v>58.522185370435999</v>
      </c>
      <c r="U54" s="111">
        <f>(I54)/(1000)</f>
        <v>56.630062414654134</v>
      </c>
      <c r="V54" s="111">
        <f>(J54)/(1000)</f>
        <v>66.449764850711659</v>
      </c>
    </row>
    <row r="55" spans="1:22" ht="18.75" x14ac:dyDescent="0.3">
      <c r="A55" s="56" t="s">
        <v>24</v>
      </c>
      <c r="B55" s="57">
        <v>16188.210650000008</v>
      </c>
      <c r="C55" s="53">
        <v>17274.374830000008</v>
      </c>
      <c r="D55" s="53">
        <v>17097.67463000002</v>
      </c>
      <c r="E55" s="53">
        <v>20321.767609999966</v>
      </c>
      <c r="F55" s="58">
        <v>70882.027719999998</v>
      </c>
      <c r="G55" s="53">
        <v>13123.919189999988</v>
      </c>
      <c r="H55" s="53">
        <v>13965.997833999991</v>
      </c>
      <c r="I55" s="53">
        <v>13717.988139999996</v>
      </c>
      <c r="J55" s="53">
        <v>16038.877700000026</v>
      </c>
      <c r="K55" s="59">
        <v>56846.782864000001</v>
      </c>
      <c r="L55" s="55">
        <v>0.24689602733681265</v>
      </c>
      <c r="N55" s="108" t="s">
        <v>2</v>
      </c>
      <c r="O55" s="111">
        <f>(B63)/(1000)</f>
        <v>78.52766852000002</v>
      </c>
      <c r="P55" s="111">
        <f>(C63)/(1000)</f>
        <v>84.15932018999996</v>
      </c>
      <c r="Q55" s="111">
        <f>(D63)/(1000)</f>
        <v>80.743536770000063</v>
      </c>
      <c r="R55" s="111">
        <f>(E63)/(1000)</f>
        <v>74.503028050000083</v>
      </c>
      <c r="S55" s="111">
        <f>(G63)/(1000)</f>
        <v>75.930580407777683</v>
      </c>
      <c r="T55" s="111">
        <f>(H63)/(1000)</f>
        <v>75.447182480720102</v>
      </c>
      <c r="U55" s="111">
        <f>(I63)/(1000)</f>
        <v>78.731271797299996</v>
      </c>
      <c r="V55" s="111">
        <f>(J63)/(1000)</f>
        <v>81.576136809999966</v>
      </c>
    </row>
    <row r="56" spans="1:22" ht="18.75" x14ac:dyDescent="0.3">
      <c r="A56" s="60" t="s">
        <v>25</v>
      </c>
      <c r="B56" s="61">
        <v>1324.0185899999999</v>
      </c>
      <c r="C56" s="62">
        <v>1488.6257100000007</v>
      </c>
      <c r="D56" s="62">
        <v>1390.6066900000008</v>
      </c>
      <c r="E56" s="62">
        <v>1491.6849200000006</v>
      </c>
      <c r="F56" s="63">
        <v>5694.935910000002</v>
      </c>
      <c r="G56" s="64">
        <v>1031.33393</v>
      </c>
      <c r="H56" s="64">
        <v>1095.1392116000002</v>
      </c>
      <c r="I56" s="62">
        <v>1028.1536600000002</v>
      </c>
      <c r="J56" s="62">
        <v>1281.7632600000002</v>
      </c>
      <c r="K56" s="65">
        <v>4436.390061600001</v>
      </c>
      <c r="L56" s="66">
        <v>0.28368692358536696</v>
      </c>
      <c r="N56" s="108" t="s">
        <v>3</v>
      </c>
      <c r="O56" s="111">
        <f>(B67)/(1000)</f>
        <v>41.515567225817705</v>
      </c>
      <c r="P56" s="111">
        <f>(C67)/(1000)</f>
        <v>69.756322347499989</v>
      </c>
      <c r="Q56" s="111">
        <f>(D67)/(1000)</f>
        <v>70.608223639175606</v>
      </c>
      <c r="R56" s="111">
        <f>(E67)/(1000)</f>
        <v>51.042206314210517</v>
      </c>
      <c r="S56" s="111">
        <f>(G67)/(1000)</f>
        <v>23.569804106830833</v>
      </c>
      <c r="T56" s="111">
        <f>(H67)/(1000)</f>
        <v>32.137653975043698</v>
      </c>
      <c r="U56" s="111">
        <f>(I67)/(1000)</f>
        <v>35.984803226702915</v>
      </c>
      <c r="V56" s="111">
        <f>(J67)/(1000)</f>
        <v>35.861246511107893</v>
      </c>
    </row>
    <row r="57" spans="1:22" ht="18.75" x14ac:dyDescent="0.3">
      <c r="A57" s="60" t="s">
        <v>26</v>
      </c>
      <c r="B57" s="61">
        <v>14864.192060000008</v>
      </c>
      <c r="C57" s="62">
        <v>15785.749120000008</v>
      </c>
      <c r="D57" s="62">
        <v>15707.067940000019</v>
      </c>
      <c r="E57" s="62">
        <v>18830.082689999967</v>
      </c>
      <c r="F57" s="63">
        <v>65187.091809999998</v>
      </c>
      <c r="G57" s="64">
        <v>12092.585259999987</v>
      </c>
      <c r="H57" s="64">
        <v>12870.85862239999</v>
      </c>
      <c r="I57" s="62">
        <v>12689.834479999996</v>
      </c>
      <c r="J57" s="62">
        <v>14757.114440000027</v>
      </c>
      <c r="K57" s="65">
        <v>52410.392802399998</v>
      </c>
      <c r="L57" s="66">
        <v>0.2437817830477112</v>
      </c>
      <c r="N57" s="109" t="s">
        <v>4</v>
      </c>
      <c r="O57" s="111">
        <f>(B73)/(1000)</f>
        <v>47.717121600973933</v>
      </c>
      <c r="P57" s="111">
        <f>(C73)/(1000)</f>
        <v>42.572796226873031</v>
      </c>
      <c r="Q57" s="111">
        <f>(D73)/(1000)</f>
        <v>46.806962790912912</v>
      </c>
      <c r="R57" s="111">
        <f>(E73)/(1000)</f>
        <v>43.269899204777687</v>
      </c>
      <c r="S57" s="111">
        <f>(G73)/(1000)</f>
        <v>44.193727776882405</v>
      </c>
      <c r="T57" s="111">
        <f>(H73)/(1000)</f>
        <v>42.07516698057394</v>
      </c>
      <c r="U57" s="111">
        <f>(I73)/(1000)</f>
        <v>46.625004974597616</v>
      </c>
      <c r="V57" s="111">
        <f>(J73)/(1000)</f>
        <v>49.585064429718109</v>
      </c>
    </row>
    <row r="58" spans="1:22" ht="18.75" x14ac:dyDescent="0.3">
      <c r="A58" s="60"/>
      <c r="B58" s="61"/>
      <c r="C58" s="62"/>
      <c r="D58" s="62"/>
      <c r="E58" s="62"/>
      <c r="F58" s="63"/>
      <c r="G58" s="64"/>
      <c r="H58" s="64"/>
      <c r="I58" s="62"/>
      <c r="J58" s="62"/>
      <c r="K58" s="65"/>
      <c r="L58" s="66"/>
      <c r="N58" s="108" t="s">
        <v>5</v>
      </c>
      <c r="O58" s="111">
        <f>(B77)/(1000)</f>
        <v>33.346317349999993</v>
      </c>
      <c r="P58" s="111">
        <f>(C77)/(1000)</f>
        <v>33.637660310000008</v>
      </c>
      <c r="Q58" s="111">
        <f>(D77)/(1000)</f>
        <v>25.536184849999994</v>
      </c>
      <c r="R58" s="111">
        <f>(E77)/(1000)</f>
        <v>31.460550729999994</v>
      </c>
      <c r="S58" s="111">
        <f>(G77)/(1000)</f>
        <v>29.037725039000005</v>
      </c>
      <c r="T58" s="111">
        <f>(H77)/(1000)</f>
        <v>31.418110171199999</v>
      </c>
      <c r="U58" s="111">
        <f>(I77)/(1000)</f>
        <v>29.508827720000003</v>
      </c>
      <c r="V58" s="111">
        <f>(J77)/(1000)</f>
        <v>30.116297300000014</v>
      </c>
    </row>
    <row r="59" spans="1:22" ht="18.75" x14ac:dyDescent="0.3">
      <c r="A59" s="56" t="s">
        <v>27</v>
      </c>
      <c r="B59" s="57">
        <v>45872.217567287771</v>
      </c>
      <c r="C59" s="53">
        <v>54009.405195314532</v>
      </c>
      <c r="D59" s="53">
        <v>51637.668025892694</v>
      </c>
      <c r="E59" s="53">
        <v>66737.565284633165</v>
      </c>
      <c r="F59" s="58">
        <v>218256.85607312815</v>
      </c>
      <c r="G59" s="53">
        <v>38597.768351528022</v>
      </c>
      <c r="H59" s="53">
        <v>44556.187536436002</v>
      </c>
      <c r="I59" s="53">
        <v>42912.074274654136</v>
      </c>
      <c r="J59" s="53">
        <v>50410.88715071162</v>
      </c>
      <c r="K59" s="59">
        <v>176476.91731332979</v>
      </c>
      <c r="L59" s="55">
        <v>0.23674449551733304</v>
      </c>
      <c r="N59" s="108" t="s">
        <v>6</v>
      </c>
      <c r="O59" s="111">
        <f>(B84)/(1000)</f>
        <v>68.000676146130431</v>
      </c>
      <c r="P59" s="111">
        <f>(C84)/(1000)</f>
        <v>82.445716774627016</v>
      </c>
      <c r="Q59" s="111">
        <f>(D84)/(1000)</f>
        <v>86.696645579356456</v>
      </c>
      <c r="R59" s="111">
        <f>(E84)/(1000)</f>
        <v>97.228885973053337</v>
      </c>
      <c r="S59" s="111">
        <f>(G84)/(1000)</f>
        <v>59.23780958749898</v>
      </c>
      <c r="T59" s="111">
        <f>(H84)/(1000)</f>
        <v>66.861857937700591</v>
      </c>
      <c r="U59" s="111">
        <f>(I84)/(1000)</f>
        <v>73.910947044709715</v>
      </c>
      <c r="V59" s="111">
        <f>(J84)/(1000)</f>
        <v>86.484959803514329</v>
      </c>
    </row>
    <row r="60" spans="1:22" ht="18.75" x14ac:dyDescent="0.3">
      <c r="A60" s="60" t="s">
        <v>28</v>
      </c>
      <c r="B60" s="67">
        <v>3450.6073099999994</v>
      </c>
      <c r="C60" s="64">
        <v>3478.859649999999</v>
      </c>
      <c r="D60" s="64">
        <v>3659.0996799999998</v>
      </c>
      <c r="E60" s="64">
        <v>3817.8735499999989</v>
      </c>
      <c r="F60" s="63">
        <v>14406.440189999996</v>
      </c>
      <c r="G60" s="64">
        <v>2720.7193310000016</v>
      </c>
      <c r="H60" s="64">
        <v>2507.7262323999958</v>
      </c>
      <c r="I60" s="64">
        <v>2462.5840799999992</v>
      </c>
      <c r="J60" s="64">
        <v>3029.8152699999973</v>
      </c>
      <c r="K60" s="65">
        <v>10720.844913399993</v>
      </c>
      <c r="L60" s="66">
        <v>0.3437784341039552</v>
      </c>
      <c r="N60" s="108" t="s">
        <v>14</v>
      </c>
      <c r="O60" s="111">
        <f>(B89)/(1000)</f>
        <v>3.759436</v>
      </c>
      <c r="P60" s="111">
        <f>(C89)/(1000)</f>
        <v>3.8388937000000007</v>
      </c>
      <c r="Q60" s="111">
        <f>(D89)/(1000)</f>
        <v>4.3463303899999977</v>
      </c>
      <c r="R60" s="111">
        <f>(E89)/(1000)</f>
        <v>8.0459988299999914</v>
      </c>
      <c r="S60" s="111">
        <f>(G89)/(1000)</f>
        <v>3.1443607299999976</v>
      </c>
      <c r="T60" s="111">
        <f>(H89)/(1000)</f>
        <v>3.0082446695200011</v>
      </c>
      <c r="U60" s="111">
        <f>(I89)/(1000)</f>
        <v>4.077972669999995</v>
      </c>
      <c r="V60" s="111">
        <f>(J89)/(1000)</f>
        <v>4.604525450199997</v>
      </c>
    </row>
    <row r="61" spans="1:22" ht="18.75" x14ac:dyDescent="0.3">
      <c r="A61" s="60" t="s">
        <v>29</v>
      </c>
      <c r="B61" s="67">
        <v>42421.610257287772</v>
      </c>
      <c r="C61" s="64">
        <v>50530.545545314533</v>
      </c>
      <c r="D61" s="64">
        <v>47978.568345892694</v>
      </c>
      <c r="E61" s="64">
        <v>62919.691734633161</v>
      </c>
      <c r="F61" s="63">
        <v>203850.41588312818</v>
      </c>
      <c r="G61" s="64">
        <v>35877.049020528022</v>
      </c>
      <c r="H61" s="64">
        <v>42048.461304036005</v>
      </c>
      <c r="I61" s="64">
        <v>40449.490194654136</v>
      </c>
      <c r="J61" s="64">
        <v>47381.071880711621</v>
      </c>
      <c r="K61" s="65">
        <v>165756.07239992981</v>
      </c>
      <c r="L61" s="66">
        <v>0.22982170687108117</v>
      </c>
      <c r="N61" s="107" t="s">
        <v>7</v>
      </c>
      <c r="O61" s="112">
        <f t="shared" ref="O61:V61" si="0">SUM(O54:O60)</f>
        <v>334.9272150602099</v>
      </c>
      <c r="P61" s="112">
        <f t="shared" si="0"/>
        <v>387.69448957431456</v>
      </c>
      <c r="Q61" s="112">
        <f t="shared" si="0"/>
        <v>383.47322667533774</v>
      </c>
      <c r="R61" s="112">
        <f t="shared" si="0"/>
        <v>392.60990199667475</v>
      </c>
      <c r="S61" s="112">
        <f t="shared" si="0"/>
        <v>286.83569518951793</v>
      </c>
      <c r="T61" s="112">
        <f t="shared" si="0"/>
        <v>309.47040158519434</v>
      </c>
      <c r="U61" s="112">
        <f t="shared" si="0"/>
        <v>325.46888984796436</v>
      </c>
      <c r="V61" s="112">
        <f t="shared" si="0"/>
        <v>354.67799515525195</v>
      </c>
    </row>
    <row r="62" spans="1:22" ht="18.75" x14ac:dyDescent="0.3">
      <c r="A62" s="60"/>
      <c r="B62" s="67"/>
      <c r="C62" s="64"/>
      <c r="D62" s="64"/>
      <c r="E62" s="64"/>
      <c r="F62" s="63"/>
      <c r="G62" s="64"/>
      <c r="H62" s="64"/>
      <c r="I62" s="64"/>
      <c r="J62" s="64"/>
      <c r="K62" s="65"/>
      <c r="L62" s="66"/>
      <c r="O62" s="111"/>
      <c r="P62" s="111"/>
      <c r="Q62" s="111"/>
      <c r="R62" s="111"/>
      <c r="S62" s="111"/>
      <c r="T62" s="111"/>
      <c r="U62" s="111"/>
      <c r="V62" s="111"/>
    </row>
    <row r="63" spans="1:22" ht="18.75" x14ac:dyDescent="0.3">
      <c r="A63" s="51" t="s">
        <v>30</v>
      </c>
      <c r="B63" s="57">
        <v>78527.668520000021</v>
      </c>
      <c r="C63" s="53">
        <v>84159.320189999955</v>
      </c>
      <c r="D63" s="53">
        <v>80743.536770000064</v>
      </c>
      <c r="E63" s="53">
        <v>74503.028050000081</v>
      </c>
      <c r="F63" s="58">
        <v>317933.55353000015</v>
      </c>
      <c r="G63" s="53">
        <v>75930.580407777685</v>
      </c>
      <c r="H63" s="53">
        <v>75447.182480720105</v>
      </c>
      <c r="I63" s="53">
        <v>78731.271797299996</v>
      </c>
      <c r="J63" s="53">
        <v>81576.136809999967</v>
      </c>
      <c r="K63" s="59">
        <v>311685.17149579775</v>
      </c>
      <c r="L63" s="55">
        <v>2.0047094329884219E-2</v>
      </c>
      <c r="O63" s="111">
        <f>(B90)/(1000)</f>
        <v>334.92721506020979</v>
      </c>
      <c r="P63" s="111">
        <f>(C90)/(1000)</f>
        <v>387.69448957431456</v>
      </c>
      <c r="Q63" s="111">
        <f>(D90)/(1000)</f>
        <v>383.47322667533774</v>
      </c>
      <c r="R63" s="111">
        <f>(E90)/(1000)</f>
        <v>392.60990199667475</v>
      </c>
      <c r="S63" s="111">
        <f>(G90)/(1000)</f>
        <v>286.83569518951793</v>
      </c>
      <c r="T63" s="111">
        <f>(H90)/(1000)</f>
        <v>309.47040158519434</v>
      </c>
      <c r="U63" s="111">
        <f>(I90)/(1000)</f>
        <v>325.46888984796436</v>
      </c>
      <c r="V63" s="111">
        <f>(J90)/(1000)</f>
        <v>354.67799515525195</v>
      </c>
    </row>
    <row r="64" spans="1:22" ht="18.75" x14ac:dyDescent="0.3">
      <c r="A64" s="60" t="s">
        <v>31</v>
      </c>
      <c r="B64" s="67">
        <v>4887.4925400000011</v>
      </c>
      <c r="C64" s="64">
        <v>5127.9899299999997</v>
      </c>
      <c r="D64" s="64">
        <v>3763.8181900000004</v>
      </c>
      <c r="E64" s="64">
        <v>4076.3500100000006</v>
      </c>
      <c r="F64" s="63">
        <v>17855.650670000003</v>
      </c>
      <c r="G64" s="64">
        <v>6239.15139</v>
      </c>
      <c r="H64" s="64">
        <v>4743.2556592000001</v>
      </c>
      <c r="I64" s="64">
        <v>5380.8271099999993</v>
      </c>
      <c r="J64" s="64">
        <v>5009.398720000001</v>
      </c>
      <c r="K64" s="65">
        <v>21372.632879199999</v>
      </c>
      <c r="L64" s="66">
        <v>-0.16455540265339738</v>
      </c>
      <c r="N64" s="105" t="s">
        <v>52</v>
      </c>
      <c r="O64" s="113">
        <f t="shared" ref="O64:V64" si="1">O61-O63</f>
        <v>0</v>
      </c>
      <c r="P64" s="113">
        <f t="shared" si="1"/>
        <v>0</v>
      </c>
      <c r="Q64" s="113">
        <f t="shared" si="1"/>
        <v>0</v>
      </c>
      <c r="R64" s="113">
        <f t="shared" si="1"/>
        <v>0</v>
      </c>
      <c r="S64" s="113">
        <f t="shared" si="1"/>
        <v>0</v>
      </c>
      <c r="T64" s="113">
        <f t="shared" si="1"/>
        <v>0</v>
      </c>
      <c r="U64" s="113">
        <f t="shared" si="1"/>
        <v>0</v>
      </c>
      <c r="V64" s="113">
        <f t="shared" si="1"/>
        <v>0</v>
      </c>
    </row>
    <row r="65" spans="1:25" ht="18.75" x14ac:dyDescent="0.3">
      <c r="A65" s="60" t="s">
        <v>32</v>
      </c>
      <c r="B65" s="67">
        <v>73640.175980000015</v>
      </c>
      <c r="C65" s="64">
        <v>79031.330259999959</v>
      </c>
      <c r="D65" s="64">
        <v>76979.718580000059</v>
      </c>
      <c r="E65" s="64">
        <v>70426.678040000086</v>
      </c>
      <c r="F65" s="63">
        <v>300077.90286000009</v>
      </c>
      <c r="G65" s="64">
        <v>69691.429017777686</v>
      </c>
      <c r="H65" s="64">
        <v>70703.926821520101</v>
      </c>
      <c r="I65" s="64">
        <v>73350.444687299998</v>
      </c>
      <c r="J65" s="64">
        <v>76566.73808999997</v>
      </c>
      <c r="K65" s="65">
        <v>290312.53861659777</v>
      </c>
      <c r="L65" s="66">
        <v>3.3637418107865406E-2</v>
      </c>
    </row>
    <row r="66" spans="1:25" ht="18.75" x14ac:dyDescent="0.3">
      <c r="A66" s="60"/>
      <c r="B66" s="67"/>
      <c r="C66" s="64"/>
      <c r="D66" s="64"/>
      <c r="E66" s="64"/>
      <c r="F66" s="63"/>
      <c r="G66" s="64"/>
      <c r="H66" s="64"/>
      <c r="I66" s="64"/>
      <c r="J66" s="64"/>
      <c r="K66" s="65"/>
      <c r="L66" s="66"/>
    </row>
    <row r="67" spans="1:25" ht="18.75" x14ac:dyDescent="0.3">
      <c r="A67" s="51" t="s">
        <v>33</v>
      </c>
      <c r="B67" s="57">
        <v>41515.567225817707</v>
      </c>
      <c r="C67" s="53">
        <v>69756.322347499983</v>
      </c>
      <c r="D67" s="53">
        <v>70608.223639175601</v>
      </c>
      <c r="E67" s="53">
        <v>51042.206314210518</v>
      </c>
      <c r="F67" s="58">
        <v>232922.31952670382</v>
      </c>
      <c r="G67" s="53">
        <v>23569.804106830834</v>
      </c>
      <c r="H67" s="53">
        <v>32137.6539750437</v>
      </c>
      <c r="I67" s="53">
        <v>35984.803226702912</v>
      </c>
      <c r="J67" s="53">
        <v>35861.246511107893</v>
      </c>
      <c r="K67" s="59">
        <v>127553.50781968533</v>
      </c>
      <c r="L67" s="55">
        <v>0.82607537423409794</v>
      </c>
    </row>
    <row r="68" spans="1:25" ht="18.75" x14ac:dyDescent="0.3">
      <c r="A68" s="60" t="s">
        <v>34</v>
      </c>
      <c r="B68" s="67">
        <v>0</v>
      </c>
      <c r="C68" s="64">
        <v>0</v>
      </c>
      <c r="D68" s="64">
        <v>0</v>
      </c>
      <c r="E68" s="64">
        <v>0.30338999999999999</v>
      </c>
      <c r="F68" s="63">
        <v>0.30338999999999999</v>
      </c>
      <c r="G68" s="64">
        <v>0</v>
      </c>
      <c r="H68" s="64">
        <v>0</v>
      </c>
      <c r="I68" s="64">
        <v>0</v>
      </c>
      <c r="J68" s="64">
        <v>54.288980000000002</v>
      </c>
      <c r="K68" s="65">
        <v>54.288980000000002</v>
      </c>
      <c r="L68" s="66">
        <v>-0.99441157303010663</v>
      </c>
    </row>
    <row r="69" spans="1:25" ht="18.75" x14ac:dyDescent="0.3">
      <c r="A69" s="60" t="s">
        <v>35</v>
      </c>
      <c r="B69" s="67">
        <v>41515.567225817707</v>
      </c>
      <c r="C69" s="64">
        <v>69756.322347499983</v>
      </c>
      <c r="D69" s="64">
        <v>70608.223639175601</v>
      </c>
      <c r="E69" s="64">
        <v>51041.902924210517</v>
      </c>
      <c r="F69" s="63">
        <v>232922.01613670384</v>
      </c>
      <c r="G69" s="64">
        <v>23569.804106830834</v>
      </c>
      <c r="H69" s="64">
        <v>32137.6539750437</v>
      </c>
      <c r="I69" s="64">
        <v>35984.803226702912</v>
      </c>
      <c r="J69" s="64">
        <v>35806.957531107895</v>
      </c>
      <c r="K69" s="63">
        <v>127499.21883968533</v>
      </c>
      <c r="L69" s="69">
        <v>0.8268505349007258</v>
      </c>
    </row>
    <row r="70" spans="1:25" ht="26.25" x14ac:dyDescent="0.4">
      <c r="A70" s="70" t="s">
        <v>36</v>
      </c>
      <c r="B70" s="67">
        <v>39915.21142581771</v>
      </c>
      <c r="C70" s="64">
        <v>68551.832037499989</v>
      </c>
      <c r="D70" s="64">
        <v>69591.604119175609</v>
      </c>
      <c r="E70" s="64">
        <v>49919.607234210518</v>
      </c>
      <c r="F70" s="63">
        <v>227978.25481670385</v>
      </c>
      <c r="G70" s="64">
        <v>22777.832346830834</v>
      </c>
      <c r="H70" s="64">
        <v>30995.3820610437</v>
      </c>
      <c r="I70" s="64">
        <v>35186.992766702911</v>
      </c>
      <c r="J70" s="64">
        <v>35133.214341107894</v>
      </c>
      <c r="K70" s="63">
        <v>124093.42151568533</v>
      </c>
      <c r="L70" s="69">
        <v>0.83715020532242745</v>
      </c>
      <c r="M70" s="141"/>
      <c r="N70" s="137" t="s">
        <v>67</v>
      </c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</row>
    <row r="71" spans="1:25" ht="18.75" x14ac:dyDescent="0.3">
      <c r="A71" s="70" t="s">
        <v>37</v>
      </c>
      <c r="B71" s="67">
        <v>1600.3557999999998</v>
      </c>
      <c r="C71" s="64">
        <v>1204.4903100000001</v>
      </c>
      <c r="D71" s="64">
        <v>1016.61952</v>
      </c>
      <c r="E71" s="64">
        <v>1122.2956900000001</v>
      </c>
      <c r="F71" s="63">
        <v>4943.7613199999996</v>
      </c>
      <c r="G71" s="64">
        <v>791.9717599999999</v>
      </c>
      <c r="H71" s="64">
        <v>1142.2719140000002</v>
      </c>
      <c r="I71" s="64">
        <v>797.81046000000003</v>
      </c>
      <c r="J71" s="64">
        <v>673.74318999999991</v>
      </c>
      <c r="K71" s="63">
        <v>3405.7973240000001</v>
      </c>
      <c r="L71" s="69">
        <v>0.45157237782831716</v>
      </c>
      <c r="M71" s="141"/>
      <c r="P71" s="136">
        <f>O52</f>
        <v>2022</v>
      </c>
      <c r="R71" s="138"/>
      <c r="U71" s="136">
        <f>S52</f>
        <v>2021</v>
      </c>
      <c r="Y71" s="141"/>
    </row>
    <row r="72" spans="1:25" ht="18.75" x14ac:dyDescent="0.3">
      <c r="A72" s="70"/>
      <c r="B72" s="67"/>
      <c r="C72" s="64"/>
      <c r="D72" s="64"/>
      <c r="E72" s="64"/>
      <c r="F72" s="63"/>
      <c r="G72" s="64"/>
      <c r="H72" s="64"/>
      <c r="I72" s="64"/>
      <c r="J72" s="64"/>
      <c r="K72" s="63"/>
      <c r="L72" s="69"/>
      <c r="M72" s="141"/>
      <c r="N72" s="106"/>
      <c r="O72" s="140" t="s">
        <v>15</v>
      </c>
      <c r="P72" s="134" t="str">
        <f>R53</f>
        <v>Q4</v>
      </c>
      <c r="Q72" s="134" t="str">
        <f>Q53</f>
        <v>Q3</v>
      </c>
      <c r="R72" s="134" t="str">
        <f>P53</f>
        <v>Q2</v>
      </c>
      <c r="S72" s="134" t="str">
        <f>O53</f>
        <v>Q1</v>
      </c>
      <c r="T72" s="140" t="s">
        <v>15</v>
      </c>
      <c r="U72" s="134" t="str">
        <f>V53</f>
        <v>Q4</v>
      </c>
      <c r="V72" s="134" t="str">
        <f>U53</f>
        <v>Q3</v>
      </c>
      <c r="W72" s="134" t="str">
        <f>T53</f>
        <v>Q2</v>
      </c>
      <c r="X72" s="134" t="str">
        <f>S53</f>
        <v>Q1</v>
      </c>
      <c r="Y72" s="141"/>
    </row>
    <row r="73" spans="1:25" ht="37.5" x14ac:dyDescent="0.3">
      <c r="A73" s="71" t="s">
        <v>38</v>
      </c>
      <c r="B73" s="57">
        <v>47717.121600973929</v>
      </c>
      <c r="C73" s="53">
        <v>42572.796226873033</v>
      </c>
      <c r="D73" s="53">
        <v>46806.962790912912</v>
      </c>
      <c r="E73" s="53">
        <v>43269.899204777685</v>
      </c>
      <c r="F73" s="58">
        <v>180366.77982353757</v>
      </c>
      <c r="G73" s="53">
        <v>44193.727776882406</v>
      </c>
      <c r="H73" s="53">
        <v>42075.166980573937</v>
      </c>
      <c r="I73" s="53">
        <v>46625.004974597614</v>
      </c>
      <c r="J73" s="53">
        <v>49585.064429718106</v>
      </c>
      <c r="K73" s="58">
        <v>182478.96416177208</v>
      </c>
      <c r="L73" s="72">
        <v>-1.1574946996970058E-2</v>
      </c>
      <c r="M73" s="141"/>
      <c r="N73" s="108" t="s">
        <v>1</v>
      </c>
      <c r="O73" s="139">
        <f>SUM(P73:S73)</f>
        <v>289.13888379312817</v>
      </c>
      <c r="P73" s="111">
        <f>$R$54</f>
        <v>87.05933289463313</v>
      </c>
      <c r="Q73" s="111">
        <f>$Q$54</f>
        <v>68.735342655892723</v>
      </c>
      <c r="R73" s="111">
        <f>$P$54</f>
        <v>71.283780025314542</v>
      </c>
      <c r="S73" s="111">
        <f>$O$54</f>
        <v>62.060428217287779</v>
      </c>
      <c r="T73" s="139">
        <f>SUM(U73:X73)</f>
        <v>233.32370017732981</v>
      </c>
      <c r="U73" s="111">
        <f>$V$54</f>
        <v>66.449764850711659</v>
      </c>
      <c r="V73" s="111">
        <f>$U$54</f>
        <v>56.630062414654134</v>
      </c>
      <c r="W73" s="111">
        <f>$T$54</f>
        <v>58.522185370435999</v>
      </c>
      <c r="X73" s="111">
        <f>$S$54</f>
        <v>51.721687541528006</v>
      </c>
      <c r="Y73" s="141"/>
    </row>
    <row r="74" spans="1:25" ht="18.75" x14ac:dyDescent="0.3">
      <c r="A74" s="60" t="s">
        <v>39</v>
      </c>
      <c r="B74" s="67">
        <v>33657.877940973936</v>
      </c>
      <c r="C74" s="64">
        <v>30625.706026873038</v>
      </c>
      <c r="D74" s="64">
        <v>36908.914910912899</v>
      </c>
      <c r="E74" s="64">
        <v>31726.687944777674</v>
      </c>
      <c r="F74" s="63">
        <v>132919.18682353757</v>
      </c>
      <c r="G74" s="64">
        <v>32918.959996882411</v>
      </c>
      <c r="H74" s="64">
        <v>31762.812938173945</v>
      </c>
      <c r="I74" s="64">
        <v>33826.429854597605</v>
      </c>
      <c r="J74" s="64">
        <v>35621.306609718129</v>
      </c>
      <c r="K74" s="63">
        <v>134129.50939937209</v>
      </c>
      <c r="L74" s="69">
        <v>-9.0235368879995875E-3</v>
      </c>
      <c r="M74" s="141"/>
      <c r="N74" s="108" t="s">
        <v>2</v>
      </c>
      <c r="O74" s="139">
        <f t="shared" ref="O74:O79" si="2">SUM(P74:S74)</f>
        <v>317.93355353000015</v>
      </c>
      <c r="P74" s="111">
        <f>$R$55</f>
        <v>74.503028050000083</v>
      </c>
      <c r="Q74" s="111">
        <f>$Q$55</f>
        <v>80.743536770000063</v>
      </c>
      <c r="R74" s="111">
        <f>$P$55</f>
        <v>84.15932018999996</v>
      </c>
      <c r="S74" s="111">
        <f>$O$55</f>
        <v>78.52766852000002</v>
      </c>
      <c r="T74" s="139">
        <f t="shared" ref="T74:T79" si="3">SUM(U74:X74)</f>
        <v>311.68517149579776</v>
      </c>
      <c r="U74" s="111">
        <f>$V$55</f>
        <v>81.576136809999966</v>
      </c>
      <c r="V74" s="111">
        <f>$U$55</f>
        <v>78.731271797299996</v>
      </c>
      <c r="W74" s="111">
        <f>$T$55</f>
        <v>75.447182480720102</v>
      </c>
      <c r="X74" s="111">
        <f>$S$55</f>
        <v>75.930580407777683</v>
      </c>
      <c r="Y74" s="141"/>
    </row>
    <row r="75" spans="1:25" ht="18.75" x14ac:dyDescent="0.3">
      <c r="A75" s="60" t="s">
        <v>40</v>
      </c>
      <c r="B75" s="67">
        <v>14059.243659999995</v>
      </c>
      <c r="C75" s="64">
        <v>11947.090199999995</v>
      </c>
      <c r="D75" s="64">
        <v>9898.0478800000146</v>
      </c>
      <c r="E75" s="64">
        <v>11543.211260000015</v>
      </c>
      <c r="F75" s="63">
        <v>47447.593000000023</v>
      </c>
      <c r="G75" s="64">
        <v>11274.767779999996</v>
      </c>
      <c r="H75" s="64">
        <v>10312.354042399995</v>
      </c>
      <c r="I75" s="64">
        <v>12798.575120000007</v>
      </c>
      <c r="J75" s="64">
        <v>13963.757819999975</v>
      </c>
      <c r="K75" s="63">
        <v>48349.454762399975</v>
      </c>
      <c r="L75" s="69">
        <v>-1.8652987232884069E-2</v>
      </c>
      <c r="M75" s="141"/>
      <c r="N75" s="108" t="s">
        <v>3</v>
      </c>
      <c r="O75" s="139">
        <f t="shared" si="2"/>
        <v>232.92231952670383</v>
      </c>
      <c r="P75" s="111">
        <f>$R$56</f>
        <v>51.042206314210517</v>
      </c>
      <c r="Q75" s="111">
        <f>$Q$56</f>
        <v>70.608223639175606</v>
      </c>
      <c r="R75" s="111">
        <f>$P$56</f>
        <v>69.756322347499989</v>
      </c>
      <c r="S75" s="111">
        <f>$O$56</f>
        <v>41.515567225817705</v>
      </c>
      <c r="T75" s="139">
        <f t="shared" si="3"/>
        <v>127.55350781968532</v>
      </c>
      <c r="U75" s="111">
        <f>$V$56</f>
        <v>35.861246511107893</v>
      </c>
      <c r="V75" s="111">
        <f>$U$56</f>
        <v>35.984803226702915</v>
      </c>
      <c r="W75" s="111">
        <f>$T$56</f>
        <v>32.137653975043698</v>
      </c>
      <c r="X75" s="111">
        <f>$S$56</f>
        <v>23.569804106830833</v>
      </c>
      <c r="Y75" s="141"/>
    </row>
    <row r="76" spans="1:25" ht="18.75" x14ac:dyDescent="0.3">
      <c r="A76" s="60"/>
      <c r="B76" s="67"/>
      <c r="C76" s="64"/>
      <c r="D76" s="64"/>
      <c r="E76" s="64"/>
      <c r="F76" s="63"/>
      <c r="G76" s="64"/>
      <c r="H76" s="64"/>
      <c r="I76" s="64"/>
      <c r="J76" s="64"/>
      <c r="K76" s="63"/>
      <c r="L76" s="69"/>
      <c r="M76" s="141"/>
      <c r="N76" s="109" t="s">
        <v>4</v>
      </c>
      <c r="O76" s="139">
        <f t="shared" si="2"/>
        <v>180.36677982353757</v>
      </c>
      <c r="P76" s="111">
        <f>$R$57</f>
        <v>43.269899204777687</v>
      </c>
      <c r="Q76" s="111">
        <f>$Q$57</f>
        <v>46.806962790912912</v>
      </c>
      <c r="R76" s="111">
        <f>$P$57</f>
        <v>42.572796226873031</v>
      </c>
      <c r="S76" s="111">
        <f>$O$57</f>
        <v>47.717121600973933</v>
      </c>
      <c r="T76" s="139">
        <f t="shared" si="3"/>
        <v>182.4789641617721</v>
      </c>
      <c r="U76" s="111">
        <f>$V$57</f>
        <v>49.585064429718109</v>
      </c>
      <c r="V76" s="111">
        <f>$U$57</f>
        <v>46.625004974597616</v>
      </c>
      <c r="W76" s="111">
        <f>$T$57</f>
        <v>42.07516698057394</v>
      </c>
      <c r="X76" s="111">
        <f>$S$57</f>
        <v>44.193727776882405</v>
      </c>
      <c r="Y76" s="141"/>
    </row>
    <row r="77" spans="1:25" ht="18.75" x14ac:dyDescent="0.3">
      <c r="A77" s="51" t="s">
        <v>41</v>
      </c>
      <c r="B77" s="57">
        <v>33346.31734999999</v>
      </c>
      <c r="C77" s="53">
        <v>33637.660310000007</v>
      </c>
      <c r="D77" s="53">
        <v>25536.184849999994</v>
      </c>
      <c r="E77" s="53">
        <v>31460.550729999995</v>
      </c>
      <c r="F77" s="58">
        <v>123980.71323999998</v>
      </c>
      <c r="G77" s="53">
        <v>29037.725039000004</v>
      </c>
      <c r="H77" s="53">
        <v>31418.110171199998</v>
      </c>
      <c r="I77" s="53">
        <v>29508.827720000001</v>
      </c>
      <c r="J77" s="53">
        <v>30116.297300000013</v>
      </c>
      <c r="K77" s="58">
        <v>120080.96023020003</v>
      </c>
      <c r="L77" s="72">
        <v>3.2476031190323364E-2</v>
      </c>
      <c r="M77" s="141"/>
      <c r="N77" s="108" t="s">
        <v>5</v>
      </c>
      <c r="O77" s="139">
        <f t="shared" si="2"/>
        <v>123.98071324</v>
      </c>
      <c r="P77" s="111">
        <f>$R$58</f>
        <v>31.460550729999994</v>
      </c>
      <c r="Q77" s="111">
        <f>$Q$58</f>
        <v>25.536184849999994</v>
      </c>
      <c r="R77" s="111">
        <f>$P$58</f>
        <v>33.637660310000008</v>
      </c>
      <c r="S77" s="111">
        <f>$O$58</f>
        <v>33.346317349999993</v>
      </c>
      <c r="T77" s="139">
        <f t="shared" si="3"/>
        <v>120.08096023020002</v>
      </c>
      <c r="U77" s="111">
        <f>$V$58</f>
        <v>30.116297300000014</v>
      </c>
      <c r="V77" s="111">
        <f>$U$58</f>
        <v>29.508827720000003</v>
      </c>
      <c r="W77" s="111">
        <f>$T$58</f>
        <v>31.418110171199999</v>
      </c>
      <c r="X77" s="111">
        <f>$S$58</f>
        <v>29.037725039000005</v>
      </c>
      <c r="Y77" s="141"/>
    </row>
    <row r="78" spans="1:25" ht="18.75" x14ac:dyDescent="0.3">
      <c r="A78" s="70" t="s">
        <v>42</v>
      </c>
      <c r="B78" s="67">
        <v>15025.684529999997</v>
      </c>
      <c r="C78" s="64">
        <v>13595.553729999996</v>
      </c>
      <c r="D78" s="64">
        <v>11461.538940000002</v>
      </c>
      <c r="E78" s="64">
        <v>15824.298020000007</v>
      </c>
      <c r="F78" s="63">
        <v>55907.075220000006</v>
      </c>
      <c r="G78" s="64">
        <v>12995.437720000002</v>
      </c>
      <c r="H78" s="64">
        <v>15974.863366400003</v>
      </c>
      <c r="I78" s="64">
        <v>15408.464600000001</v>
      </c>
      <c r="J78" s="64">
        <v>12812.391050000002</v>
      </c>
      <c r="K78" s="63">
        <v>57191.156736400008</v>
      </c>
      <c r="L78" s="69">
        <v>-2.2452448764386193E-2</v>
      </c>
      <c r="M78" s="141"/>
      <c r="N78" s="108" t="s">
        <v>6</v>
      </c>
      <c r="O78" s="139">
        <f t="shared" si="2"/>
        <v>334.37192447316727</v>
      </c>
      <c r="P78" s="111">
        <f>$R$59</f>
        <v>97.228885973053337</v>
      </c>
      <c r="Q78" s="111">
        <f>$Q$59</f>
        <v>86.696645579356456</v>
      </c>
      <c r="R78" s="111">
        <f>$P$59</f>
        <v>82.445716774627016</v>
      </c>
      <c r="S78" s="111">
        <f>$O$59</f>
        <v>68.000676146130431</v>
      </c>
      <c r="T78" s="139">
        <f t="shared" si="3"/>
        <v>286.49557437342361</v>
      </c>
      <c r="U78" s="111">
        <f>$V$59</f>
        <v>86.484959803514329</v>
      </c>
      <c r="V78" s="111">
        <f>$U$59</f>
        <v>73.910947044709715</v>
      </c>
      <c r="W78" s="111">
        <f>$T$59</f>
        <v>66.861857937700591</v>
      </c>
      <c r="X78" s="111">
        <f>$S$59</f>
        <v>59.23780958749898</v>
      </c>
      <c r="Y78" s="141"/>
    </row>
    <row r="79" spans="1:25" ht="18.75" x14ac:dyDescent="0.3">
      <c r="A79" s="70" t="s">
        <v>43</v>
      </c>
      <c r="B79" s="57">
        <v>11780.08829</v>
      </c>
      <c r="C79" s="53">
        <v>7304.3180400000001</v>
      </c>
      <c r="D79" s="53">
        <v>7381.182209999999</v>
      </c>
      <c r="E79" s="53">
        <v>8087.7811899999997</v>
      </c>
      <c r="F79" s="58">
        <v>34553.369729999999</v>
      </c>
      <c r="G79" s="53">
        <v>8346.3088000000007</v>
      </c>
      <c r="H79" s="53">
        <v>8603.1016631999992</v>
      </c>
      <c r="I79" s="53">
        <v>7482.7082600000012</v>
      </c>
      <c r="J79" s="53">
        <v>9324.1915600000029</v>
      </c>
      <c r="K79" s="58">
        <v>33756.3102832</v>
      </c>
      <c r="L79" s="72">
        <v>2.361216140369116E-2</v>
      </c>
      <c r="M79" s="141"/>
      <c r="N79" s="108" t="s">
        <v>14</v>
      </c>
      <c r="O79" s="139">
        <f t="shared" si="2"/>
        <v>19.990658919999991</v>
      </c>
      <c r="P79" s="111">
        <f>$R$60</f>
        <v>8.0459988299999914</v>
      </c>
      <c r="Q79" s="111">
        <f>$Q$60</f>
        <v>4.3463303899999977</v>
      </c>
      <c r="R79" s="111">
        <f>$P$60</f>
        <v>3.8388937000000007</v>
      </c>
      <c r="S79" s="111">
        <f>$O$60</f>
        <v>3.759436</v>
      </c>
      <c r="T79" s="139">
        <f t="shared" si="3"/>
        <v>14.83510351971999</v>
      </c>
      <c r="U79" s="111">
        <f>$V$60</f>
        <v>4.604525450199997</v>
      </c>
      <c r="V79" s="111">
        <f>$U$60</f>
        <v>4.077972669999995</v>
      </c>
      <c r="W79" s="111">
        <f>$T$60</f>
        <v>3.0082446695200011</v>
      </c>
      <c r="X79" s="111">
        <f>$S$60</f>
        <v>3.1443607299999976</v>
      </c>
      <c r="Y79" s="141"/>
    </row>
    <row r="80" spans="1:25" ht="18.75" x14ac:dyDescent="0.3">
      <c r="A80" s="73" t="s">
        <v>44</v>
      </c>
      <c r="B80" s="67">
        <v>7957.7466300000006</v>
      </c>
      <c r="C80" s="64">
        <v>3899.7457699999995</v>
      </c>
      <c r="D80" s="64">
        <v>4547.0302599999995</v>
      </c>
      <c r="E80" s="64">
        <v>4130.2147399999994</v>
      </c>
      <c r="F80" s="63">
        <v>20534.737399999998</v>
      </c>
      <c r="G80" s="64">
        <v>2991.7724699999999</v>
      </c>
      <c r="H80" s="64">
        <v>4488.7972999999993</v>
      </c>
      <c r="I80" s="64">
        <v>4556.7810600000012</v>
      </c>
      <c r="J80" s="64">
        <v>4439.0213800000001</v>
      </c>
      <c r="K80" s="63">
        <v>16476.372210000001</v>
      </c>
      <c r="L80" s="69">
        <v>0.24631424553135878</v>
      </c>
      <c r="M80" s="141"/>
      <c r="N80" s="107" t="s">
        <v>7</v>
      </c>
      <c r="O80" s="112">
        <f t="shared" ref="O80:X80" si="4">SUM(O73:O79)</f>
        <v>1498.7048333065372</v>
      </c>
      <c r="P80" s="112">
        <f t="shared" si="4"/>
        <v>392.60990199667475</v>
      </c>
      <c r="Q80" s="112">
        <f t="shared" si="4"/>
        <v>383.47322667533774</v>
      </c>
      <c r="R80" s="112">
        <f t="shared" si="4"/>
        <v>387.69448957431456</v>
      </c>
      <c r="S80" s="112">
        <f t="shared" si="4"/>
        <v>334.9272150602099</v>
      </c>
      <c r="T80" s="112">
        <f t="shared" si="4"/>
        <v>1276.4529817779287</v>
      </c>
      <c r="U80" s="112">
        <f t="shared" si="4"/>
        <v>354.67799515525195</v>
      </c>
      <c r="V80" s="112">
        <f t="shared" si="4"/>
        <v>325.46888984796436</v>
      </c>
      <c r="W80" s="112">
        <f t="shared" si="4"/>
        <v>309.47040158519434</v>
      </c>
      <c r="X80" s="112">
        <f t="shared" si="4"/>
        <v>286.83569518951793</v>
      </c>
      <c r="Y80" s="141"/>
    </row>
    <row r="81" spans="1:25" ht="18.75" x14ac:dyDescent="0.3">
      <c r="A81" s="73" t="s">
        <v>45</v>
      </c>
      <c r="B81" s="67">
        <v>3822.3416599999996</v>
      </c>
      <c r="C81" s="64">
        <v>3404.5722700000001</v>
      </c>
      <c r="D81" s="64">
        <v>2834.1519499999999</v>
      </c>
      <c r="E81" s="64">
        <v>3957.5664500000003</v>
      </c>
      <c r="F81" s="63">
        <v>14018.63233</v>
      </c>
      <c r="G81" s="64">
        <v>5354.5363300000008</v>
      </c>
      <c r="H81" s="64">
        <v>4114.304363199999</v>
      </c>
      <c r="I81" s="64">
        <v>2925.9272000000005</v>
      </c>
      <c r="J81" s="64">
        <v>4885.1701800000019</v>
      </c>
      <c r="K81" s="63">
        <v>17279.938073200003</v>
      </c>
      <c r="L81" s="69">
        <v>-0.18873364761984093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</row>
    <row r="82" spans="1:25" ht="18.75" x14ac:dyDescent="0.3">
      <c r="A82" s="60" t="s">
        <v>46</v>
      </c>
      <c r="B82" s="67">
        <v>6540.544529999991</v>
      </c>
      <c r="C82" s="64">
        <v>12737.78854000001</v>
      </c>
      <c r="D82" s="64">
        <v>6693.4636999999921</v>
      </c>
      <c r="E82" s="64">
        <v>7548.4715199999864</v>
      </c>
      <c r="F82" s="63">
        <v>33520.268289999978</v>
      </c>
      <c r="G82" s="64">
        <v>7695.9785190000048</v>
      </c>
      <c r="H82" s="64">
        <v>6840.1451415999945</v>
      </c>
      <c r="I82" s="64">
        <v>6617.6548600000006</v>
      </c>
      <c r="J82" s="64">
        <v>7979.714690000008</v>
      </c>
      <c r="K82" s="63">
        <v>29133.493210600005</v>
      </c>
      <c r="L82" s="69">
        <v>0.15057497731867861</v>
      </c>
    </row>
    <row r="83" spans="1:25" ht="18.75" x14ac:dyDescent="0.3">
      <c r="A83" s="60"/>
      <c r="B83" s="67"/>
      <c r="C83" s="64"/>
      <c r="D83" s="64"/>
      <c r="E83" s="64"/>
      <c r="F83" s="63"/>
      <c r="G83" s="64"/>
      <c r="H83" s="64"/>
      <c r="I83" s="64"/>
      <c r="J83" s="64"/>
      <c r="K83" s="63"/>
      <c r="L83" s="69"/>
    </row>
    <row r="84" spans="1:25" ht="18.75" x14ac:dyDescent="0.3">
      <c r="A84" s="51" t="s">
        <v>6</v>
      </c>
      <c r="B84" s="57">
        <v>68000.676146130427</v>
      </c>
      <c r="C84" s="53">
        <v>82445.716774627013</v>
      </c>
      <c r="D84" s="53">
        <v>86696.645579356453</v>
      </c>
      <c r="E84" s="53">
        <v>97228.885973053344</v>
      </c>
      <c r="F84" s="58">
        <v>334371.92447316722</v>
      </c>
      <c r="G84" s="53">
        <v>59237.809587498981</v>
      </c>
      <c r="H84" s="53">
        <v>66861.857937700595</v>
      </c>
      <c r="I84" s="53">
        <v>73910.947044709712</v>
      </c>
      <c r="J84" s="53">
        <v>86484.959803514328</v>
      </c>
      <c r="K84" s="58">
        <v>286495.57437342359</v>
      </c>
      <c r="L84" s="72">
        <v>0.16711026061903742</v>
      </c>
    </row>
    <row r="85" spans="1:25" ht="18.75" x14ac:dyDescent="0.3">
      <c r="A85" s="60" t="s">
        <v>47</v>
      </c>
      <c r="B85" s="67">
        <v>19456.886039999994</v>
      </c>
      <c r="C85" s="64">
        <v>22416.626960000001</v>
      </c>
      <c r="D85" s="64">
        <v>24208.249890000006</v>
      </c>
      <c r="E85" s="64">
        <v>32934.277630000011</v>
      </c>
      <c r="F85" s="63">
        <v>99016.04052000001</v>
      </c>
      <c r="G85" s="64">
        <v>16207.592790000013</v>
      </c>
      <c r="H85" s="64">
        <v>19196.245367199987</v>
      </c>
      <c r="I85" s="64">
        <v>21329.547009999987</v>
      </c>
      <c r="J85" s="64">
        <v>26807.506010000005</v>
      </c>
      <c r="K85" s="63">
        <v>83540.891177199985</v>
      </c>
      <c r="L85" s="69">
        <v>0.18524041490023641</v>
      </c>
    </row>
    <row r="86" spans="1:25" ht="18.75" x14ac:dyDescent="0.3">
      <c r="A86" s="60" t="s">
        <v>48</v>
      </c>
      <c r="B86" s="67">
        <v>28163.668854816253</v>
      </c>
      <c r="C86" s="64">
        <v>36714.397328431201</v>
      </c>
      <c r="D86" s="64">
        <v>39548.004136451695</v>
      </c>
      <c r="E86" s="64">
        <v>34258.743213956215</v>
      </c>
      <c r="F86" s="63">
        <v>138684.81353365537</v>
      </c>
      <c r="G86" s="64">
        <v>24635.992076790062</v>
      </c>
      <c r="H86" s="64">
        <v>27976.011108837865</v>
      </c>
      <c r="I86" s="64">
        <v>29835.656042760693</v>
      </c>
      <c r="J86" s="64">
        <v>32236.102549314739</v>
      </c>
      <c r="K86" s="63">
        <v>114683.76177770336</v>
      </c>
      <c r="L86" s="69">
        <v>0.20928029726191155</v>
      </c>
    </row>
    <row r="87" spans="1:25" ht="18.75" x14ac:dyDescent="0.3">
      <c r="A87" s="60" t="s">
        <v>49</v>
      </c>
      <c r="B87" s="67">
        <v>20380.121251314173</v>
      </c>
      <c r="C87" s="64">
        <v>23314.69248619581</v>
      </c>
      <c r="D87" s="64">
        <v>22940.391552904752</v>
      </c>
      <c r="E87" s="64">
        <v>30035.865129097121</v>
      </c>
      <c r="F87" s="63">
        <v>96671.07041951186</v>
      </c>
      <c r="G87" s="64">
        <v>18394.224720708913</v>
      </c>
      <c r="H87" s="64">
        <v>19689.601461662744</v>
      </c>
      <c r="I87" s="64">
        <v>22745.743991949028</v>
      </c>
      <c r="J87" s="64">
        <v>27441.351244199592</v>
      </c>
      <c r="K87" s="63">
        <v>88270.921418520273</v>
      </c>
      <c r="L87" s="69">
        <v>9.5163264028522279E-2</v>
      </c>
    </row>
    <row r="88" spans="1:25" ht="18.75" x14ac:dyDescent="0.3">
      <c r="A88" s="74"/>
      <c r="B88" s="75"/>
      <c r="C88" s="76"/>
      <c r="D88" s="76"/>
      <c r="E88" s="76"/>
      <c r="F88" s="77"/>
      <c r="G88" s="76"/>
      <c r="H88" s="76"/>
      <c r="I88" s="76"/>
      <c r="J88" s="76"/>
      <c r="K88" s="78"/>
      <c r="L88" s="69"/>
    </row>
    <row r="89" spans="1:25" ht="19.5" thickBot="1" x14ac:dyDescent="0.35">
      <c r="A89" s="79" t="s">
        <v>50</v>
      </c>
      <c r="B89" s="80">
        <v>3759.4360000000001</v>
      </c>
      <c r="C89" s="81">
        <v>3838.8937000000005</v>
      </c>
      <c r="D89" s="81">
        <v>4346.3303899999974</v>
      </c>
      <c r="E89" s="81">
        <v>8045.9988299999923</v>
      </c>
      <c r="F89" s="82">
        <v>19990.658919999991</v>
      </c>
      <c r="G89" s="81">
        <v>3144.3607299999976</v>
      </c>
      <c r="H89" s="81">
        <v>3008.244669520001</v>
      </c>
      <c r="I89" s="81">
        <v>4077.9726699999947</v>
      </c>
      <c r="J89" s="81">
        <v>4604.5254501999971</v>
      </c>
      <c r="K89" s="83">
        <v>14835.103519719991</v>
      </c>
      <c r="L89" s="69">
        <v>0.34752405963509647</v>
      </c>
    </row>
    <row r="90" spans="1:25" ht="19.5" thickBot="1" x14ac:dyDescent="0.35">
      <c r="A90" s="84" t="s">
        <v>51</v>
      </c>
      <c r="B90" s="130">
        <v>334927.2150602098</v>
      </c>
      <c r="C90" s="131">
        <v>387694.48957431456</v>
      </c>
      <c r="D90" s="131">
        <v>383473.22667533776</v>
      </c>
      <c r="E90" s="131">
        <v>392609.90199667477</v>
      </c>
      <c r="F90" s="132">
        <v>1498704.833306537</v>
      </c>
      <c r="G90" s="131">
        <v>286835.69518951792</v>
      </c>
      <c r="H90" s="131">
        <v>309470.40158519434</v>
      </c>
      <c r="I90" s="131">
        <v>325468.88984796434</v>
      </c>
      <c r="J90" s="131">
        <v>354677.99515525193</v>
      </c>
      <c r="K90" s="132">
        <v>1276452.9817779285</v>
      </c>
      <c r="L90" s="88">
        <v>0.17411675533793758</v>
      </c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Imports by BEC</vt:lpstr>
      <vt:lpstr>Sheet1</vt:lpstr>
      <vt:lpstr>'Imports by BEC'!Print_Area</vt:lpstr>
      <vt:lpstr>'Imports by BEC'!Print_Titles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2020-02-10T15:44:17Z</cp:lastPrinted>
  <dcterms:created xsi:type="dcterms:W3CDTF">2014-07-28T15:26:17Z</dcterms:created>
  <dcterms:modified xsi:type="dcterms:W3CDTF">2026-01-29T17:36:50Z</dcterms:modified>
</cp:coreProperties>
</file>